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ylvi\Desktop\FACULTAD\2025-Sistemas de Costos y Presupuestos\videos\parciales\"/>
    </mc:Choice>
  </mc:AlternateContent>
  <xr:revisionPtr revIDLastSave="0" documentId="8_{3C910E7C-6E6E-4ECF-96AF-B538EEAD470C}" xr6:coauthVersionLast="47" xr6:coauthVersionMax="47" xr10:uidLastSave="{00000000-0000-0000-0000-000000000000}"/>
  <bookViews>
    <workbookView xWindow="-103" yWindow="-103" windowWidth="19406" windowHeight="11486" xr2:uid="{6338BA98-8BB2-4D45-AAA7-AF6FF412EA75}"/>
  </bookViews>
  <sheets>
    <sheet name="Datos" sheetId="2" r:id="rId1"/>
    <sheet name="ECONÓMICO" sheetId="1" r:id="rId2"/>
    <sheet name="FINANCIERO" sheetId="3" r:id="rId3"/>
    <sheet name="Pasivo + PN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4" l="1"/>
  <c r="B14" i="4"/>
  <c r="E8" i="4"/>
  <c r="B9" i="4"/>
  <c r="B4" i="4"/>
  <c r="B13" i="4"/>
  <c r="B10" i="4"/>
  <c r="B7" i="4"/>
  <c r="C7" i="2"/>
  <c r="E7" i="4"/>
  <c r="E6" i="4"/>
  <c r="E4" i="4"/>
  <c r="G16" i="1"/>
  <c r="F16" i="1"/>
  <c r="H16" i="1" s="1"/>
  <c r="E16" i="1"/>
  <c r="E24" i="1"/>
  <c r="G22" i="1"/>
  <c r="F22" i="1"/>
  <c r="E22" i="1"/>
  <c r="D22" i="1"/>
  <c r="C22" i="1"/>
  <c r="B22" i="1"/>
  <c r="E23" i="3"/>
  <c r="D31" i="1"/>
  <c r="D29" i="1"/>
  <c r="K8" i="4"/>
  <c r="G21" i="1"/>
  <c r="H21" i="1" s="1"/>
  <c r="G34" i="3"/>
  <c r="K16" i="1"/>
  <c r="J29" i="1"/>
  <c r="J28" i="1"/>
  <c r="J30" i="1" s="1"/>
  <c r="B29" i="1"/>
  <c r="H20" i="1"/>
  <c r="H19" i="1"/>
  <c r="H18" i="1"/>
  <c r="H11" i="1"/>
  <c r="H10" i="1"/>
  <c r="B25" i="1"/>
  <c r="D28" i="1" s="1"/>
  <c r="K18" i="1"/>
  <c r="I22" i="3"/>
  <c r="G22" i="3"/>
  <c r="F22" i="3"/>
  <c r="E11" i="1"/>
  <c r="K13" i="1"/>
  <c r="K12" i="1"/>
  <c r="L10" i="1"/>
  <c r="E21" i="3"/>
  <c r="D21" i="3"/>
  <c r="D38" i="3" s="1"/>
  <c r="C21" i="3"/>
  <c r="H9" i="1"/>
  <c r="G9" i="1"/>
  <c r="I21" i="3" s="1"/>
  <c r="F9" i="1"/>
  <c r="G21" i="3" s="1"/>
  <c r="E9" i="1"/>
  <c r="F21" i="3" s="1"/>
  <c r="I30" i="3"/>
  <c r="I31" i="3"/>
  <c r="G31" i="3"/>
  <c r="F30" i="3"/>
  <c r="G29" i="3"/>
  <c r="E29" i="3"/>
  <c r="F28" i="3"/>
  <c r="D28" i="3"/>
  <c r="H28" i="3" s="1"/>
  <c r="E27" i="3"/>
  <c r="C27" i="3"/>
  <c r="D26" i="3"/>
  <c r="B26" i="3"/>
  <c r="C25" i="3"/>
  <c r="B24" i="3"/>
  <c r="B38" i="3"/>
  <c r="A31" i="3"/>
  <c r="A30" i="3"/>
  <c r="A29" i="3"/>
  <c r="A28" i="3"/>
  <c r="A27" i="3"/>
  <c r="A26" i="3"/>
  <c r="A25" i="3"/>
  <c r="A24" i="3"/>
  <c r="I14" i="3"/>
  <c r="I13" i="3"/>
  <c r="G13" i="3"/>
  <c r="G12" i="3"/>
  <c r="F12" i="3"/>
  <c r="F11" i="3"/>
  <c r="E11" i="3"/>
  <c r="E10" i="3"/>
  <c r="D10" i="3"/>
  <c r="D9" i="3"/>
  <c r="C9" i="3"/>
  <c r="C8" i="3"/>
  <c r="B8" i="3"/>
  <c r="B7" i="3"/>
  <c r="N26" i="3"/>
  <c r="A14" i="3"/>
  <c r="A13" i="3"/>
  <c r="A12" i="3"/>
  <c r="A11" i="3"/>
  <c r="A10" i="3"/>
  <c r="A9" i="3"/>
  <c r="A8" i="3"/>
  <c r="A7" i="3"/>
  <c r="T20" i="3"/>
  <c r="O20" i="3" s="1"/>
  <c r="E13" i="4"/>
  <c r="I15" i="4"/>
  <c r="B11" i="4"/>
  <c r="B12" i="4" s="1"/>
  <c r="H37" i="3"/>
  <c r="H14" i="3"/>
  <c r="B11" i="2"/>
  <c r="H9" i="2"/>
  <c r="F18" i="3"/>
  <c r="G18" i="3"/>
  <c r="M34" i="3"/>
  <c r="M33" i="3"/>
  <c r="L33" i="3"/>
  <c r="M32" i="3"/>
  <c r="L32" i="3"/>
  <c r="M31" i="3"/>
  <c r="L31" i="3"/>
  <c r="M30" i="3"/>
  <c r="L30" i="3"/>
  <c r="M29" i="3"/>
  <c r="L29" i="3"/>
  <c r="M28" i="3"/>
  <c r="L28" i="3"/>
  <c r="M27" i="3"/>
  <c r="L27" i="3"/>
  <c r="M26" i="3"/>
  <c r="L26" i="3"/>
  <c r="U8" i="3"/>
  <c r="L24" i="3"/>
  <c r="M23" i="3"/>
  <c r="N23" i="3" s="1"/>
  <c r="U7" i="3" s="1"/>
  <c r="L23" i="3"/>
  <c r="M22" i="3"/>
  <c r="N22" i="3" s="1"/>
  <c r="U6" i="3" s="1"/>
  <c r="L22" i="3"/>
  <c r="M21" i="3"/>
  <c r="N21" i="3" s="1"/>
  <c r="U5" i="3" s="1"/>
  <c r="L21" i="3"/>
  <c r="H6" i="3"/>
  <c r="G5" i="1"/>
  <c r="G6" i="1" s="1"/>
  <c r="G7" i="1" s="1"/>
  <c r="F5" i="1"/>
  <c r="E5" i="1"/>
  <c r="D5" i="1"/>
  <c r="H19" i="2"/>
  <c r="K3" i="4"/>
  <c r="B5" i="3"/>
  <c r="C5" i="1"/>
  <c r="C6" i="1" s="1"/>
  <c r="B5" i="1"/>
  <c r="B6" i="1" s="1"/>
  <c r="K19" i="1" s="1"/>
  <c r="K20" i="1" s="1"/>
  <c r="D12" i="1" s="1"/>
  <c r="H12" i="1" s="1"/>
  <c r="E24" i="2"/>
  <c r="H22" i="1" l="1"/>
  <c r="K14" i="1"/>
  <c r="L15" i="1" s="1"/>
  <c r="F17" i="1"/>
  <c r="H17" i="1" s="1"/>
  <c r="F32" i="3"/>
  <c r="F38" i="3" s="1"/>
  <c r="B15" i="1"/>
  <c r="H15" i="1" s="1"/>
  <c r="C15" i="1"/>
  <c r="D30" i="1"/>
  <c r="D32" i="1" s="1"/>
  <c r="C38" i="3"/>
  <c r="H13" i="3"/>
  <c r="H21" i="3"/>
  <c r="H23" i="3"/>
  <c r="N34" i="3"/>
  <c r="H15" i="3"/>
  <c r="C25" i="1"/>
  <c r="D25" i="1" s="1"/>
  <c r="N33" i="3"/>
  <c r="N32" i="3"/>
  <c r="N31" i="3"/>
  <c r="N30" i="3"/>
  <c r="N29" i="3"/>
  <c r="H10" i="3"/>
  <c r="N28" i="3"/>
  <c r="N27" i="3"/>
  <c r="U9" i="3"/>
  <c r="H24" i="3"/>
  <c r="F6" i="1"/>
  <c r="F7" i="1" s="1"/>
  <c r="E6" i="1"/>
  <c r="E7" i="1" s="1"/>
  <c r="D6" i="1"/>
  <c r="C7" i="1"/>
  <c r="H5" i="3"/>
  <c r="B7" i="1"/>
  <c r="H5" i="1"/>
  <c r="C10" i="2" l="1"/>
  <c r="L16" i="1"/>
  <c r="D10" i="2" s="1"/>
  <c r="D33" i="1"/>
  <c r="D13" i="1"/>
  <c r="H13" i="1" s="1"/>
  <c r="B14" i="1"/>
  <c r="B23" i="1" s="1"/>
  <c r="C14" i="1"/>
  <c r="D14" i="1"/>
  <c r="F14" i="1"/>
  <c r="G14" i="1"/>
  <c r="G23" i="1" s="1"/>
  <c r="E14" i="1"/>
  <c r="H25" i="3"/>
  <c r="E38" i="3"/>
  <c r="G38" i="3"/>
  <c r="U18" i="3"/>
  <c r="H26" i="3"/>
  <c r="H12" i="3"/>
  <c r="B19" i="3"/>
  <c r="B39" i="3" s="1"/>
  <c r="H35" i="3"/>
  <c r="U16" i="3"/>
  <c r="U15" i="3"/>
  <c r="U14" i="3"/>
  <c r="U12" i="3"/>
  <c r="U11" i="3"/>
  <c r="K4" i="4" s="1"/>
  <c r="K5" i="4" s="1"/>
  <c r="K6" i="4" s="1"/>
  <c r="K7" i="4" s="1"/>
  <c r="K9" i="4" s="1"/>
  <c r="C45" i="3"/>
  <c r="H29" i="3"/>
  <c r="H9" i="3"/>
  <c r="U17" i="3"/>
  <c r="U10" i="3"/>
  <c r="H6" i="1"/>
  <c r="D7" i="1"/>
  <c r="H18" i="3"/>
  <c r="H11" i="3"/>
  <c r="E16" i="3" l="1"/>
  <c r="F16" i="3"/>
  <c r="F19" i="3" s="1"/>
  <c r="G16" i="3"/>
  <c r="I16" i="3" s="1"/>
  <c r="H14" i="1"/>
  <c r="H27" i="3"/>
  <c r="H22" i="3"/>
  <c r="B5" i="4"/>
  <c r="H36" i="3"/>
  <c r="C23" i="1"/>
  <c r="C19" i="3"/>
  <c r="C39" i="3" s="1"/>
  <c r="H8" i="3"/>
  <c r="H30" i="3"/>
  <c r="H32" i="3"/>
  <c r="B40" i="3"/>
  <c r="H7" i="1"/>
  <c r="E10" i="4" l="1"/>
  <c r="I39" i="3"/>
  <c r="C40" i="3"/>
  <c r="H34" i="3"/>
  <c r="H33" i="3"/>
  <c r="H31" i="3"/>
  <c r="H7" i="3"/>
  <c r="H38" i="3" l="1"/>
  <c r="E23" i="1"/>
  <c r="F23" i="1" l="1"/>
  <c r="E19" i="3" l="1"/>
  <c r="E39" i="3" s="1"/>
  <c r="D19" i="3"/>
  <c r="D39" i="3" s="1"/>
  <c r="D40" i="3" s="1"/>
  <c r="H16" i="3"/>
  <c r="D23" i="1"/>
  <c r="H23" i="1" s="1"/>
  <c r="E14" i="4" s="1"/>
  <c r="E15" i="4" s="1"/>
  <c r="E17" i="4" s="1"/>
  <c r="G19" i="3" l="1"/>
  <c r="G39" i="3" s="1"/>
  <c r="F39" i="3"/>
  <c r="H17" i="3"/>
  <c r="H19" i="3" s="1"/>
  <c r="H39" i="3" s="1"/>
  <c r="B3" i="4" s="1"/>
  <c r="E40" i="3"/>
  <c r="F40" i="3" l="1"/>
  <c r="G40" i="3" s="1"/>
  <c r="E25" i="1" l="1"/>
  <c r="F25" i="1"/>
  <c r="G25" i="1" s="1"/>
  <c r="B6" i="4" s="1"/>
  <c r="B15" i="4" s="1"/>
  <c r="B20" i="4" l="1"/>
  <c r="A17" i="4"/>
</calcChain>
</file>

<file path=xl/sharedStrings.xml><?xml version="1.0" encoding="utf-8"?>
<sst xmlns="http://schemas.openxmlformats.org/spreadsheetml/2006/main" count="269" uniqueCount="181">
  <si>
    <t>CONCEPTO</t>
  </si>
  <si>
    <t>MESES</t>
  </si>
  <si>
    <t>TOTAL</t>
  </si>
  <si>
    <t>Presupuesto VENTAS</t>
  </si>
  <si>
    <t>Presupuesto COSTO de VENTAS</t>
  </si>
  <si>
    <t>Contribución Marginal</t>
  </si>
  <si>
    <t>INGRESOS</t>
  </si>
  <si>
    <t>EGRESOS</t>
  </si>
  <si>
    <t>TOTALES</t>
  </si>
  <si>
    <t>ACTIVO:</t>
  </si>
  <si>
    <t>Caja</t>
  </si>
  <si>
    <t>Mercaderías</t>
  </si>
  <si>
    <t>PASIVO+PN:</t>
  </si>
  <si>
    <t>Proveedores</t>
  </si>
  <si>
    <t>VENTAS</t>
  </si>
  <si>
    <t>ANTERIORES</t>
  </si>
  <si>
    <t>PRESUPUESTADAS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</si>
  <si>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</si>
  <si>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</si>
  <si>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</si>
  <si>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</si>
  <si>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</si>
  <si>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</si>
  <si>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</si>
  <si>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</si>
  <si>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Condiciones</t>
  </si>
  <si>
    <t>Margen de contribución:</t>
  </si>
  <si>
    <t>días, que son:</t>
  </si>
  <si>
    <t>meses</t>
  </si>
  <si>
    <r>
      <t xml:space="preserve">Tiempo de </t>
    </r>
    <r>
      <rPr>
        <sz val="11"/>
        <color rgb="FFFF0000"/>
        <rFont val="Aptos Narrow"/>
        <family val="2"/>
        <scheme val="minor"/>
      </rPr>
      <t>anticipación</t>
    </r>
    <r>
      <rPr>
        <sz val="11"/>
        <color theme="1"/>
        <rFont val="Aptos Narrow"/>
        <family val="2"/>
        <scheme val="minor"/>
      </rPr>
      <t xml:space="preserve"> en compras:</t>
    </r>
  </si>
  <si>
    <r>
      <t>Pago de las compras (</t>
    </r>
    <r>
      <rPr>
        <sz val="11"/>
        <color rgb="FFFF0000"/>
        <rFont val="Aptos Narrow"/>
        <family val="2"/>
        <scheme val="minor"/>
      </rPr>
      <t>demora</t>
    </r>
    <r>
      <rPr>
        <sz val="11"/>
        <color theme="1"/>
        <rFont val="Aptos Narrow"/>
        <family val="2"/>
        <scheme val="minor"/>
      </rPr>
      <t>):</t>
    </r>
  </si>
  <si>
    <t xml:space="preserve">Gastos fijos: </t>
  </si>
  <si>
    <t>PRESUPUESTO ECONÓMICO</t>
  </si>
  <si>
    <t>PRESUPUESTO FINANCIERO</t>
  </si>
  <si>
    <t>ESQUEMA FINANCIERO</t>
  </si>
  <si>
    <t>X</t>
  </si>
  <si>
    <t>X-1</t>
  </si>
  <si>
    <t>X-2</t>
  </si>
  <si>
    <t>COMPRAS</t>
  </si>
  <si>
    <t>INGRESOS ACTIVOS</t>
  </si>
  <si>
    <t>X+1</t>
  </si>
  <si>
    <t>X+2</t>
  </si>
  <si>
    <t>HOY</t>
  </si>
  <si>
    <t>ingreso del activo</t>
  </si>
  <si>
    <t>DIFERIDO</t>
  </si>
  <si>
    <t>Totales INGRESOS</t>
  </si>
  <si>
    <t>Totales EGRESOS</t>
  </si>
  <si>
    <t>VENTAS:</t>
  </si>
  <si>
    <t>saldo anterior</t>
  </si>
  <si>
    <t>junio</t>
  </si>
  <si>
    <t>julio</t>
  </si>
  <si>
    <t>MERCADERÍAS</t>
  </si>
  <si>
    <t>esto incluye lo que voy a usar en enero y febrero</t>
  </si>
  <si>
    <t>PASIVO:</t>
  </si>
  <si>
    <t>PN:</t>
  </si>
  <si>
    <t>Capital</t>
  </si>
  <si>
    <t>resultado del ejercicio</t>
  </si>
  <si>
    <t>Pasivo+PN</t>
  </si>
  <si>
    <t>total PASIVO</t>
  </si>
  <si>
    <t>total ACTIVO</t>
  </si>
  <si>
    <t>total PATR. NETO</t>
  </si>
  <si>
    <t>PASIVO + PN</t>
  </si>
  <si>
    <t>agosto</t>
  </si>
  <si>
    <t>septiembre</t>
  </si>
  <si>
    <t>Deudores por venta</t>
  </si>
  <si>
    <t>enero X1</t>
  </si>
  <si>
    <t>mensuales</t>
  </si>
  <si>
    <t>vida útil:</t>
  </si>
  <si>
    <t>COMPRAS PARA:</t>
  </si>
  <si>
    <t>DEUDAS POR VENTAS</t>
  </si>
  <si>
    <t>Deudores por ventas</t>
  </si>
  <si>
    <t>a los 60 días</t>
  </si>
  <si>
    <t>Tipo de financiación:</t>
  </si>
  <si>
    <t>BALANCE PROYECTADO</t>
  </si>
  <si>
    <t>Prov. Hs Extras</t>
  </si>
  <si>
    <t>horas extras MENSUALES</t>
  </si>
  <si>
    <t>pagándose al mes siguiente</t>
  </si>
  <si>
    <t>SALDO ACUMULADO</t>
  </si>
  <si>
    <t>proveed.</t>
  </si>
  <si>
    <t>gastos fijos a pagar</t>
  </si>
  <si>
    <t>saldo MENSUAL</t>
  </si>
  <si>
    <t>Otras deudas</t>
  </si>
  <si>
    <t>Gs. A pagar</t>
  </si>
  <si>
    <t>Maquinarias</t>
  </si>
  <si>
    <t>amort acum maquinarias</t>
  </si>
  <si>
    <t>inmuebles</t>
  </si>
  <si>
    <t>amort acum inmuebles</t>
  </si>
  <si>
    <t>previsión por deudores incobr.</t>
  </si>
  <si>
    <t>al contado</t>
  </si>
  <si>
    <t>25% de aumento a partir de octubre</t>
  </si>
  <si>
    <t>en el enunciado dice 6.000</t>
  </si>
  <si>
    <t>ingreso por venta de maquinaria</t>
  </si>
  <si>
    <t>nuevo mobiliario</t>
  </si>
  <si>
    <t>EJERCICIO TIPO PARCIAL</t>
  </si>
  <si>
    <t>UTILIZADAS EN JULIO</t>
  </si>
  <si>
    <t>REMANENTE</t>
  </si>
  <si>
    <t>BAJA DE REMANENTE</t>
  </si>
  <si>
    <t>amort acum maq</t>
  </si>
  <si>
    <t>Inmueble</t>
  </si>
  <si>
    <t>amort acum inm</t>
  </si>
  <si>
    <t>previsión deud. Inc</t>
  </si>
  <si>
    <t>cuotas faltantes deuda</t>
  </si>
  <si>
    <t>Horas extras pendientes de pago</t>
  </si>
  <si>
    <t>Provisión H. Extras</t>
  </si>
  <si>
    <t>deudores incobrables:</t>
  </si>
  <si>
    <t>si es algo que tengo como para cobrar en este ciclo y NO lo voy a cobrar (por incobrable) LO DESCUENTO en el presupuesto financiero</t>
  </si>
  <si>
    <t>(sumo arriba, descuento abajo)</t>
  </si>
  <si>
    <t>Sueldos a pagar</t>
  </si>
  <si>
    <t>honorarios</t>
  </si>
  <si>
    <t>sobre regalías por ventas a los 60 días (a c/u de los 2 vendedores)</t>
  </si>
  <si>
    <t>se proyecta comprar mobiliarios por</t>
  </si>
  <si>
    <t>en cuanto se pueda SIN ENDEUDARSE</t>
  </si>
  <si>
    <t>se pagan al mes siguiente</t>
  </si>
  <si>
    <t>saldo deudas pendientes (ciclo anterior)</t>
  </si>
  <si>
    <t>interés en octubre --&gt; 4 cuotas</t>
  </si>
  <si>
    <t>Venta de Mauinarias:</t>
  </si>
  <si>
    <t>con ganancia</t>
  </si>
  <si>
    <t>sobre valor residual el 30/8 a cobrar en 5 cuotas iguales a partir del mes siguiente</t>
  </si>
  <si>
    <t>incobrables al deudor por ventas del mes de octubre el día 1/12</t>
  </si>
  <si>
    <t>liquidan mercadería remanente (de períodos anteriores)</t>
  </si>
  <si>
    <t>con un descuento del 25%</t>
  </si>
  <si>
    <t>se cobra al mes siguiente</t>
  </si>
  <si>
    <t>SAC se abona con el último mes del sueldo como parámetro</t>
  </si>
  <si>
    <t>porque la contribución marginal es</t>
  </si>
  <si>
    <t>compras=</t>
  </si>
  <si>
    <t>PROPIA</t>
  </si>
  <si>
    <t>Las ventas se cobran 70% a los 30 días  y el resto a los 60 días de la venta</t>
  </si>
  <si>
    <t>Gastos Fijos</t>
  </si>
  <si>
    <t>ver cuándo hay más de 75.000 para comprar mobiliario</t>
  </si>
  <si>
    <t>Gastos fijos</t>
  </si>
  <si>
    <t>restado en económico</t>
  </si>
  <si>
    <t>gastos pendiente para el ciclo siguiente</t>
  </si>
  <si>
    <t>PREVISIÓN INCOBRABLES:</t>
  </si>
  <si>
    <t>deudores anteriores:</t>
  </si>
  <si>
    <t>se cobraron en julio:</t>
  </si>
  <si>
    <t>deuda de ciclos anteriores:</t>
  </si>
  <si>
    <t>incobrables ciclos anteriores (2900, cubierto por previsión)</t>
  </si>
  <si>
    <t>pagado con un préstamo el 1/10</t>
  </si>
  <si>
    <t>intereses por préstamo para pagar deudas anteriores</t>
  </si>
  <si>
    <t>ingreso por préstamo para pagar deudas</t>
  </si>
  <si>
    <t>pago de deudas anteriores (cuatro cuotas)</t>
  </si>
  <si>
    <t>queda pendiente el pago de 2 cuotas del préstamo</t>
  </si>
  <si>
    <t>mercaderías al iniciar el ciclo:</t>
  </si>
  <si>
    <t>mercaderías utilizadas en julio</t>
  </si>
  <si>
    <t>remanente de mercadería</t>
  </si>
  <si>
    <t>se dan de baja $900 de mercadería remanente</t>
  </si>
  <si>
    <t>baja de remanente de mercaderías</t>
  </si>
  <si>
    <t>maquinarias</t>
  </si>
  <si>
    <t>venta 20%</t>
  </si>
  <si>
    <t>amortización maquinarias (acumulada ciclo anterior)</t>
  </si>
  <si>
    <t>VALOR RESIDUAL</t>
  </si>
  <si>
    <t>GANANCIA 40% DE GANANCIA</t>
  </si>
  <si>
    <t>ganancia por la venta de 20% de maquinarias</t>
  </si>
  <si>
    <t>amortización maquinaria anterior que no se vende</t>
  </si>
  <si>
    <t>amortización maquinaria que se vende</t>
  </si>
  <si>
    <t>falta cobrar 2 cuotas de las maquinarias vendidas</t>
  </si>
  <si>
    <t>Deuda con proveedores ciclo anterior:</t>
  </si>
  <si>
    <t>pago a proveedores en julio y agosto (de proveed ant)</t>
  </si>
  <si>
    <t>punitorios por pago a proveedores del ciclo anterior</t>
  </si>
  <si>
    <t>pago proveedores del ciclo anterior</t>
  </si>
  <si>
    <t>Horas extras</t>
  </si>
  <si>
    <t>provisión horas extras = 2.000</t>
  </si>
  <si>
    <t>pago de horas extras</t>
  </si>
  <si>
    <t>horas extras de diciembre a pagar en enero</t>
  </si>
  <si>
    <t>se utilizó toda la provisión</t>
  </si>
  <si>
    <t>incobrable de octubre:</t>
  </si>
  <si>
    <t>incobrable de la venta de octubre (cubierta por la previsión)</t>
  </si>
  <si>
    <t>incobrable de la compra de octubre (se cobró una parte)</t>
  </si>
  <si>
    <t>comisiones por ventas</t>
  </si>
  <si>
    <t>compra de mobiliario (cuando se pueda disponer de 75.000 sin endeudarnos)</t>
  </si>
  <si>
    <t>amort acum</t>
  </si>
  <si>
    <t>amort. Este ciclo</t>
  </si>
  <si>
    <t>pago a proveedores anteriores</t>
  </si>
  <si>
    <t>amortización inmueble</t>
  </si>
  <si>
    <t>amortización mobiliario que se compra</t>
  </si>
  <si>
    <t>amort acum mobil NUEVO</t>
  </si>
  <si>
    <t>compra de mercadería para enero</t>
  </si>
  <si>
    <t>mobiliario</t>
  </si>
  <si>
    <t>deudores por venta maquinaria</t>
  </si>
  <si>
    <t>comisión por ventas</t>
  </si>
  <si>
    <t>amortización maq ciclo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</si>
</sst>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\ #,##0.00;[Red]\-&quot;$&quot;\ #,##0.00"/>
    <numFmt numFmtId="44" formatCode="_-&quot;$&quot;\ * #,##0.00_-;\-&quot;$&quot;\ * #,##0.00_-;_-&quot;$&quot;\ * &quot;-&quot;??_-;_-@_-"/>
    <numFmt numFmtId="164" formatCode="#,##0_ ;[Red]\-#,##0\ "/>
  </numFmts>
  <fonts count="15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4"/>
      <color theme="8"/>
      <name val="Aptos Narrow"/>
      <family val="2"/>
      <scheme val="minor"/>
    </font>
    <font>
      <b/>
      <sz val="11"/>
      <color theme="8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trike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143">
    <xf numFmtId="0" fontId="0" fillId="0" borderId="0" xfId="0"/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2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8" fontId="0" fillId="0" borderId="0" xfId="0" applyNumberFormat="1"/>
    <xf numFmtId="8" fontId="2" fillId="0" borderId="0" xfId="0" applyNumberFormat="1" applyFont="1"/>
    <xf numFmtId="8" fontId="3" fillId="0" borderId="0" xfId="0" applyNumberFormat="1" applyFont="1"/>
    <xf numFmtId="8" fontId="0" fillId="0" borderId="21" xfId="0" applyNumberFormat="1" applyBorder="1" applyAlignment="1">
      <alignment horizontal="right" vertical="center"/>
    </xf>
    <xf numFmtId="8" fontId="0" fillId="0" borderId="22" xfId="0" applyNumberFormat="1" applyBorder="1" applyAlignment="1">
      <alignment horizontal="right" vertical="center"/>
    </xf>
    <xf numFmtId="8" fontId="0" fillId="0" borderId="23" xfId="0" applyNumberFormat="1" applyBorder="1" applyAlignment="1">
      <alignment horizontal="right" vertical="center"/>
    </xf>
    <xf numFmtId="8" fontId="0" fillId="0" borderId="12" xfId="0" applyNumberFormat="1" applyBorder="1" applyAlignment="1">
      <alignment horizontal="right" vertical="center"/>
    </xf>
    <xf numFmtId="8" fontId="0" fillId="0" borderId="18" xfId="0" applyNumberFormat="1" applyBorder="1" applyAlignment="1">
      <alignment horizontal="right" vertical="center"/>
    </xf>
    <xf numFmtId="8" fontId="0" fillId="0" borderId="19" xfId="0" applyNumberFormat="1" applyBorder="1" applyAlignment="1">
      <alignment horizontal="right" vertical="center"/>
    </xf>
    <xf numFmtId="8" fontId="0" fillId="0" borderId="20" xfId="0" applyNumberFormat="1" applyBorder="1" applyAlignment="1">
      <alignment horizontal="right" vertical="center"/>
    </xf>
    <xf numFmtId="8" fontId="0" fillId="0" borderId="31" xfId="0" applyNumberFormat="1" applyBorder="1" applyAlignment="1">
      <alignment horizontal="right" vertical="center"/>
    </xf>
    <xf numFmtId="8" fontId="0" fillId="0" borderId="32" xfId="0" applyNumberFormat="1" applyBorder="1" applyAlignment="1">
      <alignment horizontal="right" vertical="center"/>
    </xf>
    <xf numFmtId="8" fontId="0" fillId="0" borderId="33" xfId="0" applyNumberFormat="1" applyBorder="1" applyAlignment="1">
      <alignment horizontal="right" vertical="center"/>
    </xf>
    <xf numFmtId="8" fontId="0" fillId="0" borderId="34" xfId="0" applyNumberFormat="1" applyBorder="1" applyAlignment="1">
      <alignment horizontal="right" vertical="center"/>
    </xf>
    <xf numFmtId="8" fontId="0" fillId="2" borderId="0" xfId="0" applyNumberFormat="1" applyFill="1"/>
    <xf numFmtId="8" fontId="0" fillId="2" borderId="38" xfId="0" applyNumberFormat="1" applyFill="1" applyBorder="1"/>
    <xf numFmtId="9" fontId="0" fillId="2" borderId="0" xfId="0" applyNumberFormat="1" applyFill="1"/>
    <xf numFmtId="164" fontId="0" fillId="2" borderId="0" xfId="0" applyNumberFormat="1" applyFill="1"/>
    <xf numFmtId="164" fontId="0" fillId="0" borderId="0" xfId="0" applyNumberFormat="1"/>
    <xf numFmtId="8" fontId="0" fillId="0" borderId="39" xfId="0" applyNumberFormat="1" applyBorder="1" applyAlignment="1">
      <alignment horizontal="right" vertical="center"/>
    </xf>
    <xf numFmtId="8" fontId="0" fillId="0" borderId="40" xfId="0" applyNumberFormat="1" applyBorder="1" applyAlignment="1">
      <alignment horizontal="right" vertical="center"/>
    </xf>
    <xf numFmtId="8" fontId="0" fillId="0" borderId="41" xfId="0" applyNumberFormat="1" applyBorder="1" applyAlignment="1">
      <alignment horizontal="right" vertical="center"/>
    </xf>
    <xf numFmtId="8" fontId="0" fillId="0" borderId="8" xfId="0" applyNumberFormat="1" applyBorder="1" applyAlignment="1">
      <alignment horizontal="right" vertical="center"/>
    </xf>
    <xf numFmtId="8" fontId="0" fillId="0" borderId="13" xfId="0" applyNumberFormat="1" applyBorder="1" applyAlignment="1">
      <alignment horizontal="right" vertical="center"/>
    </xf>
    <xf numFmtId="8" fontId="0" fillId="0" borderId="14" xfId="0" applyNumberFormat="1" applyBorder="1" applyAlignment="1">
      <alignment horizontal="right" vertical="center"/>
    </xf>
    <xf numFmtId="8" fontId="0" fillId="0" borderId="15" xfId="0" applyNumberFormat="1" applyBorder="1" applyAlignment="1">
      <alignment horizontal="right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9" fontId="0" fillId="2" borderId="22" xfId="0" applyNumberFormat="1" applyFill="1" applyBorder="1" applyAlignment="1">
      <alignment horizontal="center" vertical="center"/>
    </xf>
    <xf numFmtId="9" fontId="0" fillId="0" borderId="8" xfId="0" applyNumberFormat="1" applyBorder="1" applyAlignment="1">
      <alignment horizontal="center" vertical="center"/>
    </xf>
    <xf numFmtId="17" fontId="0" fillId="0" borderId="0" xfId="0" applyNumberFormat="1" applyAlignment="1">
      <alignment horizontal="center" vertical="center"/>
    </xf>
    <xf numFmtId="17" fontId="0" fillId="2" borderId="0" xfId="0" applyNumberFormat="1" applyFill="1" applyAlignment="1">
      <alignment horizontal="center" vertical="center"/>
    </xf>
    <xf numFmtId="8" fontId="0" fillId="0" borderId="1" xfId="0" applyNumberFormat="1" applyBorder="1" applyAlignment="1">
      <alignment horizontal="right" vertical="center"/>
    </xf>
    <xf numFmtId="8" fontId="0" fillId="0" borderId="24" xfId="0" applyNumberFormat="1" applyBorder="1" applyAlignment="1">
      <alignment horizontal="right" vertical="center"/>
    </xf>
    <xf numFmtId="8" fontId="0" fillId="0" borderId="25" xfId="0" applyNumberFormat="1" applyBorder="1" applyAlignment="1">
      <alignment horizontal="right" vertical="center"/>
    </xf>
    <xf numFmtId="8" fontId="0" fillId="0" borderId="28" xfId="0" applyNumberFormat="1" applyBorder="1" applyAlignment="1">
      <alignment horizontal="right" vertical="center"/>
    </xf>
    <xf numFmtId="8" fontId="0" fillId="0" borderId="0" xfId="0" applyNumberFormat="1" applyAlignment="1">
      <alignment horizontal="center" vertical="center"/>
    </xf>
    <xf numFmtId="8" fontId="3" fillId="0" borderId="0" xfId="0" applyNumberFormat="1" applyFont="1" applyAlignment="1">
      <alignment vertical="center"/>
    </xf>
    <xf numFmtId="8" fontId="0" fillId="0" borderId="0" xfId="0" applyNumberFormat="1" applyAlignment="1">
      <alignment vertical="center"/>
    </xf>
    <xf numFmtId="8" fontId="0" fillId="0" borderId="38" xfId="0" applyNumberFormat="1" applyBorder="1" applyAlignment="1">
      <alignment vertical="center"/>
    </xf>
    <xf numFmtId="8" fontId="0" fillId="0" borderId="0" xfId="0" applyNumberFormat="1" applyAlignment="1">
      <alignment horizontal="right" vertical="center"/>
    </xf>
    <xf numFmtId="8" fontId="0" fillId="0" borderId="1" xfId="0" applyNumberFormat="1" applyBorder="1" applyAlignment="1">
      <alignment vertical="center"/>
    </xf>
    <xf numFmtId="8" fontId="2" fillId="0" borderId="0" xfId="0" applyNumberFormat="1" applyFont="1" applyAlignment="1">
      <alignment vertical="center"/>
    </xf>
    <xf numFmtId="9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46" xfId="0" applyBorder="1" applyAlignment="1">
      <alignment horizontal="center" vertical="center"/>
    </xf>
    <xf numFmtId="8" fontId="0" fillId="0" borderId="47" xfId="0" applyNumberFormat="1" applyBorder="1" applyAlignment="1">
      <alignment horizontal="right" vertical="center"/>
    </xf>
    <xf numFmtId="8" fontId="0" fillId="0" borderId="48" xfId="0" applyNumberFormat="1" applyBorder="1" applyAlignment="1">
      <alignment horizontal="right" vertical="center"/>
    </xf>
    <xf numFmtId="8" fontId="0" fillId="0" borderId="49" xfId="0" applyNumberFormat="1" applyBorder="1" applyAlignment="1">
      <alignment horizontal="right" vertical="center"/>
    </xf>
    <xf numFmtId="8" fontId="0" fillId="0" borderId="46" xfId="0" applyNumberFormat="1" applyBorder="1" applyAlignment="1">
      <alignment horizontal="right" vertical="center"/>
    </xf>
    <xf numFmtId="8" fontId="0" fillId="0" borderId="50" xfId="0" applyNumberFormat="1" applyBorder="1" applyAlignment="1">
      <alignment horizontal="right" vertical="center"/>
    </xf>
    <xf numFmtId="8" fontId="0" fillId="0" borderId="9" xfId="0" applyNumberFormat="1" applyBorder="1" applyAlignment="1">
      <alignment horizontal="right" vertical="center"/>
    </xf>
    <xf numFmtId="9" fontId="0" fillId="0" borderId="0" xfId="0" applyNumberFormat="1" applyAlignment="1">
      <alignment horizontal="left"/>
    </xf>
    <xf numFmtId="0" fontId="0" fillId="0" borderId="0" xfId="0" applyAlignment="1">
      <alignment horizontal="right" vertical="center"/>
    </xf>
    <xf numFmtId="8" fontId="0" fillId="0" borderId="29" xfId="0" applyNumberFormat="1" applyBorder="1" applyAlignment="1">
      <alignment horizontal="right" vertical="center"/>
    </xf>
    <xf numFmtId="0" fontId="3" fillId="0" borderId="26" xfId="0" applyFont="1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8" fontId="0" fillId="0" borderId="52" xfId="0" applyNumberFormat="1" applyBorder="1" applyAlignment="1">
      <alignment horizontal="right" vertical="center"/>
    </xf>
    <xf numFmtId="8" fontId="0" fillId="0" borderId="45" xfId="0" applyNumberFormat="1" applyBorder="1" applyAlignment="1">
      <alignment horizontal="right" vertical="center"/>
    </xf>
    <xf numFmtId="8" fontId="0" fillId="0" borderId="51" xfId="0" applyNumberFormat="1" applyBorder="1" applyAlignment="1">
      <alignment horizontal="right" vertical="center"/>
    </xf>
    <xf numFmtId="9" fontId="0" fillId="0" borderId="22" xfId="0" applyNumberForma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9" fontId="0" fillId="0" borderId="0" xfId="0" applyNumberFormat="1"/>
    <xf numFmtId="9" fontId="0" fillId="2" borderId="8" xfId="0" applyNumberFormat="1" applyFill="1" applyBorder="1" applyAlignment="1">
      <alignment horizontal="center" vertical="center"/>
    </xf>
    <xf numFmtId="0" fontId="0" fillId="4" borderId="0" xfId="0" applyFill="1" applyAlignment="1">
      <alignment horizontal="left" vertical="center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8" fontId="2" fillId="0" borderId="12" xfId="0" applyNumberFormat="1" applyFont="1" applyBorder="1" applyAlignment="1">
      <alignment horizontal="right" vertical="center"/>
    </xf>
    <xf numFmtId="8" fontId="2" fillId="0" borderId="31" xfId="0" applyNumberFormat="1" applyFont="1" applyBorder="1" applyAlignment="1">
      <alignment horizontal="right" vertical="center"/>
    </xf>
    <xf numFmtId="8" fontId="2" fillId="0" borderId="34" xfId="0" applyNumberFormat="1" applyFont="1" applyBorder="1" applyAlignment="1">
      <alignment horizontal="right" vertical="center"/>
    </xf>
    <xf numFmtId="8" fontId="2" fillId="0" borderId="32" xfId="0" applyNumberFormat="1" applyFont="1" applyBorder="1" applyAlignment="1">
      <alignment horizontal="right" vertical="center"/>
    </xf>
    <xf numFmtId="8" fontId="2" fillId="0" borderId="33" xfId="0" applyNumberFormat="1" applyFont="1" applyBorder="1" applyAlignment="1">
      <alignment horizontal="right" vertical="center"/>
    </xf>
    <xf numFmtId="8" fontId="2" fillId="0" borderId="40" xfId="0" applyNumberFormat="1" applyFont="1" applyBorder="1" applyAlignment="1">
      <alignment horizontal="right" vertical="center"/>
    </xf>
    <xf numFmtId="8" fontId="2" fillId="0" borderId="41" xfId="0" applyNumberFormat="1" applyFont="1" applyBorder="1" applyAlignment="1">
      <alignment horizontal="right" vertical="center"/>
    </xf>
    <xf numFmtId="8" fontId="10" fillId="0" borderId="1" xfId="0" applyNumberFormat="1" applyFont="1" applyBorder="1"/>
    <xf numFmtId="8" fontId="2" fillId="0" borderId="28" xfId="0" applyNumberFormat="1" applyFont="1" applyBorder="1" applyAlignment="1">
      <alignment horizontal="right" vertical="center"/>
    </xf>
    <xf numFmtId="9" fontId="0" fillId="0" borderId="23" xfId="0" applyNumberFormat="1" applyBorder="1" applyAlignment="1">
      <alignment horizontal="center" vertical="center"/>
    </xf>
    <xf numFmtId="9" fontId="0" fillId="0" borderId="25" xfId="0" applyNumberFormat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53" xfId="0" applyBorder="1" applyAlignment="1">
      <alignment horizontal="left" vertical="center"/>
    </xf>
    <xf numFmtId="8" fontId="0" fillId="0" borderId="54" xfId="0" applyNumberFormat="1" applyBorder="1" applyAlignment="1">
      <alignment horizontal="right" vertical="center"/>
    </xf>
    <xf numFmtId="8" fontId="0" fillId="0" borderId="55" xfId="0" applyNumberFormat="1" applyBorder="1" applyAlignment="1">
      <alignment horizontal="right" vertical="center"/>
    </xf>
    <xf numFmtId="8" fontId="0" fillId="0" borderId="56" xfId="0" applyNumberFormat="1" applyBorder="1" applyAlignment="1">
      <alignment horizontal="right" vertical="center"/>
    </xf>
    <xf numFmtId="8" fontId="0" fillId="0" borderId="0" xfId="0" applyNumberFormat="1" applyAlignment="1">
      <alignment horizontal="left" vertical="center"/>
    </xf>
    <xf numFmtId="8" fontId="2" fillId="0" borderId="39" xfId="0" applyNumberFormat="1" applyFont="1" applyBorder="1" applyAlignment="1">
      <alignment horizontal="right" vertical="center"/>
    </xf>
    <xf numFmtId="8" fontId="11" fillId="0" borderId="0" xfId="0" applyNumberFormat="1" applyFont="1" applyAlignment="1">
      <alignment vertical="center"/>
    </xf>
    <xf numFmtId="8" fontId="0" fillId="5" borderId="0" xfId="0" applyNumberFormat="1" applyFill="1"/>
    <xf numFmtId="8" fontId="2" fillId="5" borderId="0" xfId="0" applyNumberFormat="1" applyFont="1" applyFill="1"/>
    <xf numFmtId="9" fontId="0" fillId="5" borderId="0" xfId="0" applyNumberFormat="1" applyFill="1"/>
    <xf numFmtId="9" fontId="0" fillId="5" borderId="0" xfId="0" applyNumberFormat="1" applyFill="1" applyAlignment="1">
      <alignment horizontal="center"/>
    </xf>
    <xf numFmtId="0" fontId="7" fillId="0" borderId="0" xfId="0" applyFont="1" applyAlignment="1">
      <alignment horizontal="right" vertical="center"/>
    </xf>
    <xf numFmtId="8" fontId="0" fillId="0" borderId="57" xfId="0" applyNumberFormat="1" applyBorder="1" applyAlignment="1">
      <alignment horizontal="right" vertical="center"/>
    </xf>
    <xf numFmtId="8" fontId="0" fillId="0" borderId="58" xfId="0" applyNumberFormat="1" applyBorder="1" applyAlignment="1">
      <alignment horizontal="right" vertical="center"/>
    </xf>
    <xf numFmtId="0" fontId="2" fillId="0" borderId="35" xfId="0" applyFont="1" applyBorder="1" applyAlignment="1">
      <alignment horizontal="left" vertical="center"/>
    </xf>
    <xf numFmtId="8" fontId="0" fillId="0" borderId="0" xfId="1" applyNumberFormat="1" applyFont="1" applyAlignment="1">
      <alignment horizontal="center" vertical="center"/>
    </xf>
    <xf numFmtId="8" fontId="0" fillId="0" borderId="38" xfId="0" applyNumberForma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8" fontId="13" fillId="0" borderId="0" xfId="0" applyNumberFormat="1" applyFont="1" applyAlignment="1">
      <alignment horizontal="right" vertical="center"/>
    </xf>
    <xf numFmtId="8" fontId="13" fillId="0" borderId="38" xfId="0" applyNumberFormat="1" applyFont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8" fontId="14" fillId="2" borderId="38" xfId="0" applyNumberFormat="1" applyFont="1" applyFill="1" applyBorder="1"/>
    <xf numFmtId="8" fontId="14" fillId="0" borderId="0" xfId="0" applyNumberFormat="1" applyFont="1"/>
    <xf numFmtId="8" fontId="14" fillId="2" borderId="0" xfId="0" applyNumberFormat="1" applyFont="1" applyFill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8" fontId="6" fillId="0" borderId="2" xfId="0" applyNumberFormat="1" applyFont="1" applyBorder="1" applyAlignment="1">
      <alignment horizontal="center" vertical="center"/>
    </xf>
    <xf numFmtId="8" fontId="6" fillId="0" borderId="4" xfId="0" applyNumberFormat="1" applyFont="1" applyBorder="1" applyAlignment="1">
      <alignment horizontal="center" vertical="center"/>
    </xf>
    <xf numFmtId="8" fontId="6" fillId="0" borderId="5" xfId="0" applyNumberFormat="1" applyFont="1" applyBorder="1" applyAlignment="1">
      <alignment horizontal="center" vertical="center"/>
    </xf>
    <xf numFmtId="8" fontId="6" fillId="0" borderId="7" xfId="0" applyNumberFormat="1" applyFont="1" applyBorder="1" applyAlignment="1">
      <alignment horizontal="center" vertical="center"/>
    </xf>
    <xf numFmtId="8" fontId="9" fillId="0" borderId="0" xfId="0" applyNumberFormat="1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209447</xdr:colOff>
      <xdr:row>2</xdr:row>
      <xdr:rowOff>86362</xdr:rowOff>
    </xdr:from>
    <xdr:to>
      <xdr:col>18</xdr:col>
      <xdr:colOff>430598</xdr:colOff>
      <xdr:row>47</xdr:row>
      <xdr:rowOff>68186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E67843D-C4B7-E8EB-8567-1D3AD2960E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62895" y="536805"/>
          <a:ext cx="7315634" cy="8427638"/>
        </a:xfrm>
        <a:prstGeom prst="rect">
          <a:avLst/>
        </a:prstGeom>
      </xdr:spPr>
    </xdr:pic>
    <xdr:clientData/>
  </xdr:twoCellAnchor>
  <xdr:twoCellAnchor editAs="oneCell">
    <xdr:from>
      <xdr:col>19</xdr:col>
      <xdr:colOff>733601</xdr:colOff>
      <xdr:row>0</xdr:row>
      <xdr:rowOff>0</xdr:rowOff>
    </xdr:from>
    <xdr:to>
      <xdr:col>30</xdr:col>
      <xdr:colOff>736101</xdr:colOff>
      <xdr:row>42</xdr:row>
      <xdr:rowOff>47662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4372CFA-8F0B-B6DF-B6D2-4363435FD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395278" y="0"/>
          <a:ext cx="8592749" cy="77544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12783-37C3-488B-A312-FC92B32835A3}">
  <sheetPr>
    <pageSetUpPr fitToPage="1"/>
  </sheetPr>
  <dimension ref="A1:I38"/>
  <sheetViews>
    <sheetView showGridLines="0" tabSelected="1" topLeftCell="I4" zoomScale="58" workbookViewId="0">
      <selection activeCell="AH41" sqref="AH41"/>
    </sheetView>
  </sheetViews>
  <sheetFormatPr baseColWidth="10" defaultRowHeight="14.6" x14ac:dyDescent="0.4"/>
  <cols>
    <col min="1" max="1" width="29.84375" style="13" customWidth="1"/>
    <col min="2" max="2" width="14.53515625" style="13" customWidth="1"/>
    <col min="3" max="3" width="11.53515625" style="13" bestFit="1" customWidth="1"/>
    <col min="4" max="4" width="18.07421875" style="13" customWidth="1"/>
    <col min="5" max="5" width="12.15234375" style="13" customWidth="1"/>
    <col min="6" max="6" width="6.23046875" style="13" bestFit="1" customWidth="1"/>
    <col min="7" max="7" width="22.15234375" style="13" bestFit="1" customWidth="1"/>
    <col min="8" max="8" width="13.07421875" style="13" bestFit="1" customWidth="1"/>
    <col min="9" max="9" width="11.53515625" style="13" bestFit="1" customWidth="1"/>
    <col min="10" max="16384" width="11.07421875" style="13"/>
  </cols>
  <sheetData>
    <row r="1" spans="1:9" ht="21" thickBot="1" x14ac:dyDescent="0.6">
      <c r="A1" s="93" t="s">
        <v>93</v>
      </c>
    </row>
    <row r="2" spans="1:9" x14ac:dyDescent="0.4">
      <c r="A2" s="15" t="s">
        <v>9</v>
      </c>
      <c r="G2" s="15" t="s">
        <v>12</v>
      </c>
    </row>
    <row r="3" spans="1:9" x14ac:dyDescent="0.4">
      <c r="A3" s="13" t="s">
        <v>10</v>
      </c>
      <c r="B3" s="27">
        <v>60620</v>
      </c>
      <c r="G3" s="13" t="s">
        <v>74</v>
      </c>
      <c r="H3" s="121">
        <v>2000</v>
      </c>
      <c r="I3" s="13" t="s">
        <v>164</v>
      </c>
    </row>
    <row r="4" spans="1:9" x14ac:dyDescent="0.4">
      <c r="A4" s="13" t="s">
        <v>64</v>
      </c>
      <c r="B4" s="27">
        <v>17900</v>
      </c>
      <c r="G4" s="13" t="s">
        <v>81</v>
      </c>
      <c r="H4" s="121">
        <v>12000</v>
      </c>
      <c r="I4" s="13" t="s">
        <v>137</v>
      </c>
    </row>
    <row r="5" spans="1:9" x14ac:dyDescent="0.4">
      <c r="A5" s="13" t="s">
        <v>11</v>
      </c>
      <c r="B5" s="27">
        <v>6500</v>
      </c>
      <c r="C5" s="13" t="s">
        <v>145</v>
      </c>
      <c r="G5" s="13" t="s">
        <v>82</v>
      </c>
      <c r="H5" s="121">
        <v>500</v>
      </c>
      <c r="I5" s="13" t="s">
        <v>130</v>
      </c>
    </row>
    <row r="6" spans="1:9" x14ac:dyDescent="0.4">
      <c r="A6" s="13" t="s">
        <v>83</v>
      </c>
      <c r="B6" s="27">
        <v>15000</v>
      </c>
      <c r="G6" s="13" t="s">
        <v>13</v>
      </c>
      <c r="H6" s="121">
        <v>6000</v>
      </c>
    </row>
    <row r="7" spans="1:9" x14ac:dyDescent="0.4">
      <c r="A7" s="13" t="s">
        <v>84</v>
      </c>
      <c r="B7" s="27">
        <v>-3000</v>
      </c>
      <c r="C7" s="13">
        <f>+B7-ECONÓMICO!D30</f>
        <v>-2400</v>
      </c>
      <c r="G7" s="13" t="s">
        <v>107</v>
      </c>
      <c r="H7" s="27"/>
    </row>
    <row r="8" spans="1:9" x14ac:dyDescent="0.4">
      <c r="A8" s="13" t="s">
        <v>85</v>
      </c>
      <c r="B8" s="27">
        <v>120000</v>
      </c>
      <c r="G8" s="13" t="s">
        <v>55</v>
      </c>
      <c r="H8" s="28">
        <v>171520</v>
      </c>
    </row>
    <row r="9" spans="1:9" x14ac:dyDescent="0.4">
      <c r="A9" s="13" t="s">
        <v>86</v>
      </c>
      <c r="B9" s="27">
        <v>-10000</v>
      </c>
      <c r="G9" s="13" t="s">
        <v>57</v>
      </c>
      <c r="H9" s="13">
        <f>SUM(H3:H8)</f>
        <v>192020</v>
      </c>
    </row>
    <row r="10" spans="1:9" x14ac:dyDescent="0.4">
      <c r="A10" s="13" t="s">
        <v>87</v>
      </c>
      <c r="B10" s="119">
        <v>-15000</v>
      </c>
      <c r="C10" s="120">
        <f>+ECONÓMICO!L15</f>
        <v>-12100</v>
      </c>
      <c r="D10" s="13">
        <f>+ECONÓMICO!L16</f>
        <v>-7000</v>
      </c>
    </row>
    <row r="11" spans="1:9" x14ac:dyDescent="0.4">
      <c r="B11" s="13">
        <f>SUM(B3:B10)</f>
        <v>192020</v>
      </c>
      <c r="C11" s="15"/>
      <c r="G11" s="15" t="s">
        <v>16</v>
      </c>
      <c r="H11" s="15"/>
    </row>
    <row r="12" spans="1:9" x14ac:dyDescent="0.4">
      <c r="A12" s="15" t="s">
        <v>14</v>
      </c>
      <c r="G12" s="27" t="s">
        <v>50</v>
      </c>
      <c r="H12" s="27">
        <v>14000</v>
      </c>
    </row>
    <row r="13" spans="1:9" x14ac:dyDescent="0.4">
      <c r="A13" s="15" t="s">
        <v>15</v>
      </c>
      <c r="B13" s="15"/>
      <c r="G13" s="27" t="s">
        <v>62</v>
      </c>
      <c r="H13" s="27">
        <v>15000</v>
      </c>
    </row>
    <row r="14" spans="1:9" x14ac:dyDescent="0.4">
      <c r="A14" s="27" t="s">
        <v>20</v>
      </c>
      <c r="B14" s="27"/>
      <c r="G14" s="27" t="s">
        <v>63</v>
      </c>
      <c r="H14" s="27">
        <v>16000</v>
      </c>
    </row>
    <row r="15" spans="1:9" x14ac:dyDescent="0.4">
      <c r="A15" s="27" t="s">
        <v>21</v>
      </c>
      <c r="B15" s="27"/>
      <c r="G15" s="27" t="s">
        <v>17</v>
      </c>
      <c r="H15" s="27">
        <v>17000</v>
      </c>
    </row>
    <row r="16" spans="1:9" x14ac:dyDescent="0.4">
      <c r="A16" s="27" t="s">
        <v>22</v>
      </c>
      <c r="B16" s="27"/>
      <c r="G16" s="27" t="s">
        <v>18</v>
      </c>
      <c r="H16" s="27">
        <v>18000</v>
      </c>
    </row>
    <row r="17" spans="1:8" x14ac:dyDescent="0.4">
      <c r="A17" s="27" t="s">
        <v>23</v>
      </c>
      <c r="B17" s="27"/>
      <c r="G17" s="27" t="s">
        <v>19</v>
      </c>
      <c r="H17" s="27">
        <v>19000</v>
      </c>
    </row>
    <row r="18" spans="1:8" x14ac:dyDescent="0.4">
      <c r="A18" s="27" t="s">
        <v>24</v>
      </c>
      <c r="B18" s="27">
        <v>10000</v>
      </c>
      <c r="G18" s="27" t="s">
        <v>65</v>
      </c>
      <c r="H18" s="28">
        <v>20000</v>
      </c>
    </row>
    <row r="19" spans="1:8" x14ac:dyDescent="0.4">
      <c r="A19" s="27" t="s">
        <v>49</v>
      </c>
      <c r="B19" s="27">
        <v>12000</v>
      </c>
      <c r="H19" s="13">
        <f>SUM(H12:H18)</f>
        <v>119000</v>
      </c>
    </row>
    <row r="21" spans="1:8" x14ac:dyDescent="0.4">
      <c r="A21" s="14" t="s">
        <v>25</v>
      </c>
    </row>
    <row r="22" spans="1:8" x14ac:dyDescent="0.4">
      <c r="A22" s="13" t="s">
        <v>26</v>
      </c>
      <c r="C22" s="29">
        <v>0.6</v>
      </c>
    </row>
    <row r="23" spans="1:8" x14ac:dyDescent="0.4">
      <c r="A23" s="13" t="s">
        <v>126</v>
      </c>
    </row>
    <row r="24" spans="1:8" x14ac:dyDescent="0.4">
      <c r="A24" s="13" t="s">
        <v>29</v>
      </c>
      <c r="C24" s="30">
        <v>30</v>
      </c>
      <c r="D24" s="13" t="s">
        <v>27</v>
      </c>
      <c r="E24" s="31">
        <f>+C24/30</f>
        <v>1</v>
      </c>
      <c r="F24" s="13" t="s">
        <v>28</v>
      </c>
      <c r="G24" s="13" t="s">
        <v>43</v>
      </c>
    </row>
    <row r="25" spans="1:8" x14ac:dyDescent="0.4">
      <c r="A25" s="13" t="s">
        <v>30</v>
      </c>
      <c r="C25" s="29">
        <v>0.6</v>
      </c>
      <c r="D25" s="13" t="s">
        <v>88</v>
      </c>
      <c r="E25" s="31"/>
      <c r="F25" s="81">
        <v>0.4</v>
      </c>
      <c r="G25" s="13" t="s">
        <v>71</v>
      </c>
    </row>
    <row r="26" spans="1:8" x14ac:dyDescent="0.4">
      <c r="A26" s="13" t="s">
        <v>108</v>
      </c>
      <c r="B26" s="81"/>
      <c r="C26" s="29">
        <v>0.02</v>
      </c>
      <c r="D26" s="13" t="s">
        <v>109</v>
      </c>
      <c r="E26" s="31"/>
      <c r="F26" s="81"/>
    </row>
    <row r="27" spans="1:8" x14ac:dyDescent="0.4">
      <c r="A27" s="13" t="s">
        <v>110</v>
      </c>
      <c r="B27" s="81"/>
      <c r="C27" s="27">
        <v>120000</v>
      </c>
      <c r="D27" s="13" t="s">
        <v>111</v>
      </c>
      <c r="E27" s="31"/>
      <c r="F27" s="81"/>
    </row>
    <row r="28" spans="1:8" x14ac:dyDescent="0.4">
      <c r="A28" s="105" t="s">
        <v>31</v>
      </c>
      <c r="B28" s="105">
        <v>800</v>
      </c>
      <c r="C28" s="105" t="s">
        <v>66</v>
      </c>
      <c r="D28" s="106" t="s">
        <v>112</v>
      </c>
      <c r="E28" s="105"/>
      <c r="F28" s="105"/>
      <c r="G28" s="105" t="s">
        <v>89</v>
      </c>
    </row>
    <row r="29" spans="1:8" x14ac:dyDescent="0.4">
      <c r="A29" s="13" t="s">
        <v>113</v>
      </c>
      <c r="C29" s="81">
        <v>0.1</v>
      </c>
      <c r="D29" s="14" t="s">
        <v>114</v>
      </c>
    </row>
    <row r="30" spans="1:8" s="105" customFormat="1" x14ac:dyDescent="0.4">
      <c r="A30" s="105" t="s">
        <v>115</v>
      </c>
      <c r="B30" s="107">
        <v>0.2</v>
      </c>
      <c r="C30" s="105" t="s">
        <v>116</v>
      </c>
      <c r="D30" s="108">
        <v>0.4</v>
      </c>
      <c r="E30" s="105" t="s">
        <v>117</v>
      </c>
    </row>
    <row r="31" spans="1:8" x14ac:dyDescent="0.4">
      <c r="A31" s="13" t="s">
        <v>75</v>
      </c>
      <c r="B31" s="13">
        <v>700</v>
      </c>
      <c r="C31" s="13" t="s">
        <v>76</v>
      </c>
    </row>
    <row r="32" spans="1:8" x14ac:dyDescent="0.4">
      <c r="A32" s="13" t="s">
        <v>118</v>
      </c>
    </row>
    <row r="33" spans="1:6" x14ac:dyDescent="0.4">
      <c r="A33" s="13" t="s">
        <v>119</v>
      </c>
      <c r="B33" s="81"/>
      <c r="C33" s="71">
        <v>1E-3</v>
      </c>
      <c r="D33" s="81" t="s">
        <v>120</v>
      </c>
      <c r="E33" s="81"/>
      <c r="F33" s="13" t="s">
        <v>121</v>
      </c>
    </row>
    <row r="34" spans="1:6" x14ac:dyDescent="0.4">
      <c r="A34" s="13" t="s">
        <v>122</v>
      </c>
      <c r="B34" s="81"/>
    </row>
    <row r="38" spans="1:6" x14ac:dyDescent="0.4">
      <c r="B38" s="81"/>
    </row>
  </sheetData>
  <phoneticPr fontId="4" type="noConversion"/>
  <pageMargins left="0.7" right="0.7" top="0.75" bottom="0.75" header="0.3" footer="0.3"/>
  <pageSetup paperSize="9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29F3D-D160-4218-BCCB-DB73E136ED29}">
  <dimension ref="A1:M34"/>
  <sheetViews>
    <sheetView topLeftCell="A8" zoomScale="82" zoomScaleNormal="80" workbookViewId="0">
      <selection activeCell="K13" sqref="K13"/>
    </sheetView>
  </sheetViews>
  <sheetFormatPr baseColWidth="10" defaultRowHeight="14.6" x14ac:dyDescent="0.4"/>
  <cols>
    <col min="1" max="1" width="48.84375" style="2" bestFit="1" customWidth="1"/>
    <col min="2" max="7" width="12.07421875" style="2" customWidth="1"/>
    <col min="8" max="8" width="13" style="2" bestFit="1" customWidth="1"/>
    <col min="9" max="9" width="11.07421875" style="2"/>
    <col min="10" max="10" width="18.921875" style="2" customWidth="1"/>
    <col min="11" max="11" width="11.53515625" style="2" bestFit="1" customWidth="1"/>
    <col min="12" max="12" width="12.921875" style="2" bestFit="1" customWidth="1"/>
    <col min="13" max="16384" width="11.07421875" style="2"/>
  </cols>
  <sheetData>
    <row r="1" spans="1:12" ht="33" customHeight="1" thickBot="1" x14ac:dyDescent="0.45">
      <c r="A1" s="125" t="s">
        <v>32</v>
      </c>
      <c r="B1" s="125"/>
      <c r="C1" s="125"/>
      <c r="D1" s="125"/>
      <c r="E1" s="125"/>
      <c r="F1" s="125"/>
      <c r="G1" s="125"/>
      <c r="H1" s="125"/>
    </row>
    <row r="2" spans="1:12" x14ac:dyDescent="0.4">
      <c r="A2" s="129" t="s">
        <v>0</v>
      </c>
      <c r="B2" s="126" t="s">
        <v>1</v>
      </c>
      <c r="C2" s="127"/>
      <c r="D2" s="127"/>
      <c r="E2" s="127"/>
      <c r="F2" s="127"/>
      <c r="G2" s="128"/>
      <c r="H2" s="129" t="s">
        <v>2</v>
      </c>
    </row>
    <row r="3" spans="1:12" ht="15" thickBot="1" x14ac:dyDescent="0.45">
      <c r="A3" s="130"/>
      <c r="B3" s="3" t="s">
        <v>50</v>
      </c>
      <c r="C3" s="4" t="s">
        <v>62</v>
      </c>
      <c r="D3" s="64" t="s">
        <v>63</v>
      </c>
      <c r="E3" s="64" t="s">
        <v>17</v>
      </c>
      <c r="F3" s="64" t="s">
        <v>18</v>
      </c>
      <c r="G3" s="5" t="s">
        <v>19</v>
      </c>
      <c r="H3" s="130"/>
    </row>
    <row r="4" spans="1:12" ht="24.55" customHeight="1" thickBot="1" x14ac:dyDescent="0.45">
      <c r="A4" s="131" t="s">
        <v>6</v>
      </c>
      <c r="B4" s="132"/>
      <c r="C4" s="132"/>
      <c r="D4" s="132"/>
      <c r="E4" s="132"/>
      <c r="F4" s="132"/>
      <c r="G4" s="132"/>
      <c r="H4" s="133"/>
      <c r="J4" s="72"/>
      <c r="L4" s="55"/>
    </row>
    <row r="5" spans="1:12" x14ac:dyDescent="0.4">
      <c r="A5" s="8" t="s">
        <v>3</v>
      </c>
      <c r="B5" s="16">
        <f>VLOOKUP(B3,Datos!$G$12:$H$18,2,FALSE)</f>
        <v>14000</v>
      </c>
      <c r="C5" s="17">
        <f>VLOOKUP(C3,Datos!$G$12:$H$18,2,FALSE)</f>
        <v>15000</v>
      </c>
      <c r="D5" s="65">
        <f>VLOOKUP(D3,Datos!$G$12:$H$18,2,FALSE)</f>
        <v>16000</v>
      </c>
      <c r="E5" s="65">
        <f>VLOOKUP(E3,Datos!$G$12:$H$18,2,FALSE)</f>
        <v>17000</v>
      </c>
      <c r="F5" s="65">
        <f>VLOOKUP(F3,Datos!$G$12:$H$18,2,FALSE)</f>
        <v>18000</v>
      </c>
      <c r="G5" s="18">
        <f>VLOOKUP(G3,Datos!$G$12:$H$18,2,FALSE)</f>
        <v>19000</v>
      </c>
      <c r="H5" s="86">
        <f>SUM(B5:G5)</f>
        <v>99000</v>
      </c>
      <c r="J5" s="72"/>
      <c r="K5" s="55"/>
      <c r="L5" s="55"/>
    </row>
    <row r="6" spans="1:12" ht="15" thickBot="1" x14ac:dyDescent="0.45">
      <c r="A6" s="10" t="s">
        <v>4</v>
      </c>
      <c r="B6" s="20">
        <f>-B5*(1-Datos!$C$22)</f>
        <v>-5600</v>
      </c>
      <c r="C6" s="21">
        <f>-C5*(1-Datos!$C$22)</f>
        <v>-6000</v>
      </c>
      <c r="D6" s="66">
        <f>-D5*(1-Datos!$C$22)</f>
        <v>-6400</v>
      </c>
      <c r="E6" s="66">
        <f>-E5*(1-Datos!$C$22)</f>
        <v>-6800</v>
      </c>
      <c r="F6" s="66">
        <f>-F5*(1-Datos!$C$22)</f>
        <v>-7200</v>
      </c>
      <c r="G6" s="22">
        <f>-G5*(1-Datos!$C$22)</f>
        <v>-7600</v>
      </c>
      <c r="H6" s="87">
        <f>SUM(B6:G6)</f>
        <v>-39600</v>
      </c>
      <c r="J6" s="72"/>
      <c r="K6" s="55"/>
      <c r="L6" s="55"/>
    </row>
    <row r="7" spans="1:12" ht="27" customHeight="1" thickBot="1" x14ac:dyDescent="0.45">
      <c r="A7" s="11" t="s">
        <v>5</v>
      </c>
      <c r="B7" s="89">
        <f>SUM(B5:B6)</f>
        <v>8400</v>
      </c>
      <c r="C7" s="90">
        <f>SUM(C5:C6)</f>
        <v>9000</v>
      </c>
      <c r="D7" s="90">
        <f t="shared" ref="D7:F7" si="0">SUM(D5:D6)</f>
        <v>9600</v>
      </c>
      <c r="E7" s="90">
        <f t="shared" si="0"/>
        <v>10200</v>
      </c>
      <c r="F7" s="90">
        <f t="shared" si="0"/>
        <v>10800</v>
      </c>
      <c r="G7" s="88">
        <f>SUM(G5:G6)</f>
        <v>11400</v>
      </c>
      <c r="H7" s="88">
        <f>SUM(B7:G7)</f>
        <v>59400</v>
      </c>
      <c r="J7" s="72"/>
      <c r="K7" s="55"/>
      <c r="L7" s="55"/>
    </row>
    <row r="8" spans="1:12" ht="24.55" customHeight="1" x14ac:dyDescent="0.4">
      <c r="A8" s="122" t="s">
        <v>7</v>
      </c>
      <c r="B8" s="123"/>
      <c r="C8" s="123"/>
      <c r="D8" s="123"/>
      <c r="E8" s="123"/>
      <c r="F8" s="123"/>
      <c r="G8" s="123"/>
      <c r="H8" s="124"/>
      <c r="J8" s="72"/>
      <c r="K8" s="55"/>
      <c r="L8" s="55"/>
    </row>
    <row r="9" spans="1:12" x14ac:dyDescent="0.4">
      <c r="A9" s="9" t="s">
        <v>129</v>
      </c>
      <c r="B9" s="52">
        <v>-500</v>
      </c>
      <c r="C9" s="35">
        <v>-500</v>
      </c>
      <c r="D9" s="70">
        <v>-500</v>
      </c>
      <c r="E9" s="70">
        <f>-500*1.25</f>
        <v>-625</v>
      </c>
      <c r="F9" s="70">
        <f t="shared" ref="F9:G9" si="1">-500*1.25</f>
        <v>-625</v>
      </c>
      <c r="G9" s="53">
        <f t="shared" si="1"/>
        <v>-625</v>
      </c>
      <c r="H9" s="94">
        <f>SUM(B9:G9)</f>
        <v>-3375</v>
      </c>
      <c r="L9" s="55"/>
    </row>
    <row r="10" spans="1:12" x14ac:dyDescent="0.4">
      <c r="A10" s="9" t="s">
        <v>136</v>
      </c>
      <c r="B10" s="52"/>
      <c r="C10" s="35">
        <v>0</v>
      </c>
      <c r="D10" s="70"/>
      <c r="E10" s="70"/>
      <c r="F10" s="70"/>
      <c r="G10" s="53"/>
      <c r="H10" s="94">
        <f t="shared" ref="H10:H22" si="2">SUM(B10:G10)</f>
        <v>0</v>
      </c>
      <c r="J10" s="72" t="s">
        <v>132</v>
      </c>
      <c r="L10" s="113">
        <f>+Datos!B10</f>
        <v>-15000</v>
      </c>
    </row>
    <row r="11" spans="1:12" x14ac:dyDescent="0.4">
      <c r="A11" s="9" t="s">
        <v>138</v>
      </c>
      <c r="B11" s="52"/>
      <c r="C11" s="35"/>
      <c r="D11" s="70"/>
      <c r="E11" s="70">
        <f>-Datos!H4*10%</f>
        <v>-1200</v>
      </c>
      <c r="F11" s="70"/>
      <c r="G11" s="53"/>
      <c r="H11" s="94">
        <f t="shared" si="2"/>
        <v>-1200</v>
      </c>
      <c r="J11" s="72"/>
      <c r="K11" s="55"/>
    </row>
    <row r="12" spans="1:12" x14ac:dyDescent="0.4">
      <c r="A12" s="9" t="s">
        <v>146</v>
      </c>
      <c r="B12" s="52"/>
      <c r="C12" s="35"/>
      <c r="D12" s="70">
        <f>-K20</f>
        <v>-900</v>
      </c>
      <c r="E12" s="70"/>
      <c r="F12" s="70"/>
      <c r="G12" s="53"/>
      <c r="H12" s="94">
        <f t="shared" si="2"/>
        <v>-900</v>
      </c>
      <c r="J12" s="72" t="s">
        <v>133</v>
      </c>
      <c r="K12" s="55">
        <f>+Datos!B4</f>
        <v>17900</v>
      </c>
    </row>
    <row r="13" spans="1:12" x14ac:dyDescent="0.4">
      <c r="A13" s="9" t="s">
        <v>152</v>
      </c>
      <c r="B13" s="52"/>
      <c r="C13" s="35"/>
      <c r="D13" s="70">
        <f>+D32</f>
        <v>940</v>
      </c>
      <c r="E13" s="70"/>
      <c r="F13" s="70"/>
      <c r="G13" s="53"/>
      <c r="H13" s="94">
        <f t="shared" si="2"/>
        <v>940</v>
      </c>
      <c r="J13" s="72" t="s">
        <v>134</v>
      </c>
      <c r="K13" s="114">
        <f>+FINANCIERO!B7+FINANCIERO!B8+FINANCIERO!C8</f>
        <v>15000</v>
      </c>
    </row>
    <row r="14" spans="1:12" x14ac:dyDescent="0.4">
      <c r="A14" s="9" t="s">
        <v>153</v>
      </c>
      <c r="B14" s="52">
        <f>-$D$25/(10*12)</f>
        <v>-100</v>
      </c>
      <c r="C14" s="35">
        <f t="shared" ref="C14:G14" si="3">-$D$25/(10*12)</f>
        <v>-100</v>
      </c>
      <c r="D14" s="70">
        <f t="shared" si="3"/>
        <v>-100</v>
      </c>
      <c r="E14" s="70">
        <f t="shared" si="3"/>
        <v>-100</v>
      </c>
      <c r="F14" s="70">
        <f t="shared" si="3"/>
        <v>-100</v>
      </c>
      <c r="G14" s="53">
        <f t="shared" si="3"/>
        <v>-100</v>
      </c>
      <c r="H14" s="94">
        <f t="shared" si="2"/>
        <v>-600</v>
      </c>
      <c r="J14" s="72" t="s">
        <v>135</v>
      </c>
      <c r="K14" s="55">
        <f>+K12-K13</f>
        <v>2900</v>
      </c>
    </row>
    <row r="15" spans="1:12" x14ac:dyDescent="0.4">
      <c r="A15" s="9" t="s">
        <v>154</v>
      </c>
      <c r="B15" s="52">
        <f>-D28/(10*12)</f>
        <v>-25</v>
      </c>
      <c r="C15" s="35">
        <f>-D28/(10*12)</f>
        <v>-25</v>
      </c>
      <c r="D15" s="70"/>
      <c r="E15" s="70"/>
      <c r="F15" s="70"/>
      <c r="G15" s="53"/>
      <c r="H15" s="94">
        <f t="shared" si="2"/>
        <v>-50</v>
      </c>
      <c r="J15" s="72" t="s">
        <v>132</v>
      </c>
      <c r="L15" s="113">
        <f>+L10+K14</f>
        <v>-12100</v>
      </c>
    </row>
    <row r="16" spans="1:12" x14ac:dyDescent="0.4">
      <c r="A16" s="9" t="s">
        <v>174</v>
      </c>
      <c r="B16" s="52"/>
      <c r="C16" s="35"/>
      <c r="D16" s="70"/>
      <c r="E16" s="70">
        <f>-$E$24/(10*12)</f>
        <v>-625</v>
      </c>
      <c r="F16" s="70">
        <f t="shared" ref="F16:G16" si="4">-$E$24/(10*12)</f>
        <v>-625</v>
      </c>
      <c r="G16" s="53">
        <f t="shared" si="4"/>
        <v>-625</v>
      </c>
      <c r="H16" s="94">
        <f t="shared" si="2"/>
        <v>-1875</v>
      </c>
      <c r="J16" s="72" t="s">
        <v>165</v>
      </c>
      <c r="K16" s="59">
        <f>+FINANCIERO!G12</f>
        <v>5100</v>
      </c>
      <c r="L16" s="55">
        <f>+L15+K16</f>
        <v>-7000</v>
      </c>
    </row>
    <row r="17" spans="1:13" x14ac:dyDescent="0.4">
      <c r="A17" s="9" t="s">
        <v>158</v>
      </c>
      <c r="B17" s="52"/>
      <c r="C17" s="35"/>
      <c r="D17" s="70"/>
      <c r="E17" s="70"/>
      <c r="F17" s="70">
        <f>-J30*10%</f>
        <v>-184</v>
      </c>
      <c r="G17" s="53"/>
      <c r="H17" s="94">
        <f t="shared" si="2"/>
        <v>-184</v>
      </c>
      <c r="K17" s="72"/>
    </row>
    <row r="18" spans="1:13" x14ac:dyDescent="0.4">
      <c r="A18" s="9" t="s">
        <v>160</v>
      </c>
      <c r="B18" s="52">
        <v>-700</v>
      </c>
      <c r="C18" s="35">
        <v>-700</v>
      </c>
      <c r="D18" s="70">
        <v>-700</v>
      </c>
      <c r="E18" s="70">
        <v>-700</v>
      </c>
      <c r="F18" s="70">
        <v>-700</v>
      </c>
      <c r="G18" s="53">
        <v>-700</v>
      </c>
      <c r="H18" s="94">
        <f t="shared" si="2"/>
        <v>-4200</v>
      </c>
      <c r="J18" s="59" t="s">
        <v>142</v>
      </c>
      <c r="K18" s="59">
        <f>+Datos!B5</f>
        <v>6500</v>
      </c>
      <c r="L18" s="55"/>
      <c r="M18" s="55"/>
    </row>
    <row r="19" spans="1:13" x14ac:dyDescent="0.4">
      <c r="A19" s="10" t="s">
        <v>161</v>
      </c>
      <c r="B19" s="20">
        <v>700</v>
      </c>
      <c r="C19" s="21">
        <v>700</v>
      </c>
      <c r="D19" s="66">
        <v>600</v>
      </c>
      <c r="E19" s="66"/>
      <c r="F19" s="66"/>
      <c r="G19" s="22"/>
      <c r="H19" s="94">
        <f t="shared" si="2"/>
        <v>2000</v>
      </c>
      <c r="J19" s="72" t="s">
        <v>143</v>
      </c>
      <c r="K19" s="59">
        <f>+B6</f>
        <v>-5600</v>
      </c>
      <c r="L19" s="55"/>
    </row>
    <row r="20" spans="1:13" x14ac:dyDescent="0.4">
      <c r="A20" s="10" t="s">
        <v>166</v>
      </c>
      <c r="B20" s="20"/>
      <c r="C20" s="21"/>
      <c r="D20" s="66"/>
      <c r="E20" s="66"/>
      <c r="F20" s="66"/>
      <c r="G20" s="22">
        <v>0</v>
      </c>
      <c r="H20" s="94">
        <f t="shared" si="2"/>
        <v>0</v>
      </c>
      <c r="J20" s="72" t="s">
        <v>144</v>
      </c>
      <c r="K20" s="35">
        <f>+K19+K18</f>
        <v>900</v>
      </c>
      <c r="L20" s="55"/>
    </row>
    <row r="21" spans="1:13" x14ac:dyDescent="0.4">
      <c r="A21" s="10" t="s">
        <v>168</v>
      </c>
      <c r="B21" s="20"/>
      <c r="C21" s="21"/>
      <c r="D21" s="66"/>
      <c r="E21" s="66"/>
      <c r="F21" s="66"/>
      <c r="G21" s="22">
        <f>-G7*5%</f>
        <v>-570</v>
      </c>
      <c r="H21" s="94">
        <f t="shared" si="2"/>
        <v>-570</v>
      </c>
      <c r="K21" s="72"/>
      <c r="L21" s="55"/>
    </row>
    <row r="22" spans="1:13" ht="15" thickBot="1" x14ac:dyDescent="0.45">
      <c r="A22" s="10" t="s">
        <v>173</v>
      </c>
      <c r="B22" s="36">
        <f>-Datos!$B$8/(50*12)</f>
        <v>-200</v>
      </c>
      <c r="C22" s="36">
        <f>-Datos!$B$8/(50*12)</f>
        <v>-200</v>
      </c>
      <c r="D22" s="36">
        <f>-Datos!$B$8/(50*12)</f>
        <v>-200</v>
      </c>
      <c r="E22" s="36">
        <f>-Datos!$B$8/(50*12)</f>
        <v>-200</v>
      </c>
      <c r="F22" s="36">
        <f>-Datos!$B$8/(50*12)</f>
        <v>-200</v>
      </c>
      <c r="G22" s="36">
        <f>-Datos!$B$8/(50*12)</f>
        <v>-200</v>
      </c>
      <c r="H22" s="87">
        <f t="shared" si="2"/>
        <v>-1200</v>
      </c>
      <c r="K22" s="55"/>
    </row>
    <row r="23" spans="1:13" ht="15" thickBot="1" x14ac:dyDescent="0.45">
      <c r="A23" s="11" t="s">
        <v>8</v>
      </c>
      <c r="B23" s="103">
        <f t="shared" ref="B23:G23" si="5">SUM(B9:B22)+B7</f>
        <v>7575</v>
      </c>
      <c r="C23" s="91">
        <f t="shared" si="5"/>
        <v>8175</v>
      </c>
      <c r="D23" s="91">
        <f t="shared" si="5"/>
        <v>8740</v>
      </c>
      <c r="E23" s="91">
        <f t="shared" si="5"/>
        <v>6750</v>
      </c>
      <c r="F23" s="91">
        <f t="shared" si="5"/>
        <v>8366</v>
      </c>
      <c r="G23" s="92">
        <f t="shared" si="5"/>
        <v>8580</v>
      </c>
      <c r="H23" s="94">
        <f t="shared" ref="H23" si="6">SUM(B23:G23)</f>
        <v>48186</v>
      </c>
    </row>
    <row r="24" spans="1:13" x14ac:dyDescent="0.4">
      <c r="A24" s="72" t="s">
        <v>92</v>
      </c>
      <c r="C24" s="97"/>
      <c r="D24" s="55"/>
      <c r="E24" s="55">
        <f>-FINANCIERO!E36</f>
        <v>75000</v>
      </c>
      <c r="F24" s="55"/>
      <c r="G24" s="55"/>
    </row>
    <row r="25" spans="1:13" x14ac:dyDescent="0.4">
      <c r="A25" s="72" t="s">
        <v>147</v>
      </c>
      <c r="B25" s="55">
        <f>+Datos!B6</f>
        <v>15000</v>
      </c>
      <c r="C25" s="55">
        <f>+B25</f>
        <v>15000</v>
      </c>
      <c r="D25" s="55">
        <f>+C25-D28</f>
        <v>12000</v>
      </c>
      <c r="E25" s="55">
        <f>+D25</f>
        <v>12000</v>
      </c>
      <c r="F25" s="55">
        <f t="shared" ref="F25:G25" si="7">+E25</f>
        <v>12000</v>
      </c>
      <c r="G25" s="55">
        <f t="shared" si="7"/>
        <v>12000</v>
      </c>
      <c r="H25" s="6"/>
    </row>
    <row r="26" spans="1:13" x14ac:dyDescent="0.4">
      <c r="A26" s="72" t="s">
        <v>67</v>
      </c>
      <c r="B26" s="2">
        <v>10</v>
      </c>
      <c r="C26" s="2">
        <v>10</v>
      </c>
      <c r="D26" s="2">
        <v>10</v>
      </c>
      <c r="E26" s="2">
        <v>10</v>
      </c>
      <c r="F26" s="2">
        <v>10</v>
      </c>
      <c r="G26" s="2">
        <v>10</v>
      </c>
    </row>
    <row r="27" spans="1:13" ht="14.15" customHeight="1" x14ac:dyDescent="0.4">
      <c r="C27" s="115"/>
      <c r="D27" s="115"/>
      <c r="E27" s="115"/>
    </row>
    <row r="28" spans="1:13" x14ac:dyDescent="0.4">
      <c r="A28" s="72" t="s">
        <v>148</v>
      </c>
      <c r="C28" s="115"/>
      <c r="D28" s="116">
        <f>+B25*20%</f>
        <v>3000</v>
      </c>
      <c r="E28" s="116"/>
      <c r="I28" s="72" t="s">
        <v>156</v>
      </c>
      <c r="J28" s="55">
        <f>+Datos!H6</f>
        <v>6000</v>
      </c>
    </row>
    <row r="29" spans="1:13" x14ac:dyDescent="0.4">
      <c r="A29" s="55" t="s">
        <v>149</v>
      </c>
      <c r="B29" s="55">
        <f>+Datos!B7</f>
        <v>-3000</v>
      </c>
      <c r="C29" s="115" t="s">
        <v>171</v>
      </c>
      <c r="D29" s="116">
        <f>+B15+C15</f>
        <v>-50</v>
      </c>
      <c r="E29" s="116"/>
      <c r="I29" s="72" t="s">
        <v>157</v>
      </c>
      <c r="J29" s="114">
        <f>+FINANCIERO!B24+FINANCIERO!C25</f>
        <v>-4160</v>
      </c>
    </row>
    <row r="30" spans="1:13" x14ac:dyDescent="0.4">
      <c r="C30" s="115" t="s">
        <v>170</v>
      </c>
      <c r="D30" s="117">
        <f>+B29/B25*D28</f>
        <v>-600</v>
      </c>
      <c r="E30" s="116"/>
      <c r="J30" s="55">
        <f>+J29+J28</f>
        <v>1840</v>
      </c>
    </row>
    <row r="31" spans="1:13" x14ac:dyDescent="0.4">
      <c r="C31" s="118" t="s">
        <v>150</v>
      </c>
      <c r="D31" s="116">
        <f>SUM(D28:D30)</f>
        <v>2350</v>
      </c>
      <c r="E31" s="116"/>
      <c r="G31" s="6"/>
      <c r="H31" s="6"/>
    </row>
    <row r="32" spans="1:13" x14ac:dyDescent="0.4">
      <c r="C32" s="118" t="s">
        <v>151</v>
      </c>
      <c r="D32" s="117">
        <f>+D31*40%</f>
        <v>940</v>
      </c>
      <c r="E32" s="116"/>
      <c r="F32" s="97"/>
    </row>
    <row r="33" spans="3:10" x14ac:dyDescent="0.4">
      <c r="C33" s="115"/>
      <c r="D33" s="116">
        <f>+D32+D31</f>
        <v>3290</v>
      </c>
      <c r="E33" s="116"/>
      <c r="I33" s="6"/>
      <c r="J33" s="6"/>
    </row>
    <row r="34" spans="3:10" x14ac:dyDescent="0.4">
      <c r="C34" s="115"/>
      <c r="D34" s="115"/>
    </row>
  </sheetData>
  <mergeCells count="6">
    <mergeCell ref="A8:H8"/>
    <mergeCell ref="A1:H1"/>
    <mergeCell ref="B2:G2"/>
    <mergeCell ref="A2:A3"/>
    <mergeCell ref="H2:H3"/>
    <mergeCell ref="A4:H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4E233-A870-4EDF-A5BF-4A28655E22C8}">
  <sheetPr>
    <pageSetUpPr fitToPage="1"/>
  </sheetPr>
  <dimension ref="A1:X46"/>
  <sheetViews>
    <sheetView showZeros="0" topLeftCell="A28" zoomScale="69" zoomScaleNormal="50" workbookViewId="0">
      <selection activeCell="J30" sqref="J30"/>
    </sheetView>
  </sheetViews>
  <sheetFormatPr baseColWidth="10" defaultRowHeight="14.6" x14ac:dyDescent="0.4"/>
  <cols>
    <col min="1" max="1" width="66.3046875" style="2" bestFit="1" customWidth="1"/>
    <col min="2" max="7" width="12.07421875" style="2" customWidth="1"/>
    <col min="8" max="8" width="13.15234375" style="2" bestFit="1" customWidth="1"/>
    <col min="9" max="9" width="12.07421875" style="2" customWidth="1"/>
    <col min="10" max="10" width="11.3046875" style="2" bestFit="1" customWidth="1"/>
    <col min="11" max="11" width="22.07421875" style="2" customWidth="1"/>
    <col min="12" max="12" width="23.53515625" style="2" customWidth="1"/>
    <col min="13" max="13" width="23.61328125" style="2" customWidth="1"/>
    <col min="14" max="14" width="17.07421875" style="2" bestFit="1" customWidth="1"/>
    <col min="15" max="16" width="8.23046875" style="2" customWidth="1"/>
    <col min="17" max="17" width="8.53515625" style="2" customWidth="1"/>
    <col min="18" max="18" width="8.23046875" style="2" customWidth="1"/>
    <col min="19" max="19" width="11.07421875" style="2"/>
    <col min="20" max="20" width="11.15234375" style="2" bestFit="1" customWidth="1"/>
    <col min="21" max="21" width="11.3046875" style="2" bestFit="1" customWidth="1"/>
    <col min="22" max="16384" width="11.07421875" style="2"/>
  </cols>
  <sheetData>
    <row r="1" spans="1:24" ht="33" customHeight="1" thickBot="1" x14ac:dyDescent="0.45">
      <c r="A1" s="125" t="s">
        <v>33</v>
      </c>
      <c r="B1" s="125"/>
      <c r="C1" s="125"/>
      <c r="D1" s="125"/>
      <c r="E1" s="125"/>
      <c r="F1" s="125"/>
      <c r="G1" s="125"/>
      <c r="H1" s="125"/>
      <c r="I1" s="125"/>
      <c r="M1" s="135" t="s">
        <v>34</v>
      </c>
      <c r="N1" s="136"/>
      <c r="O1" s="136"/>
      <c r="P1" s="136"/>
      <c r="Q1" s="136"/>
      <c r="R1" s="137"/>
      <c r="W1" s="84"/>
      <c r="X1" s="84"/>
    </row>
    <row r="2" spans="1:24" ht="15" thickBot="1" x14ac:dyDescent="0.45">
      <c r="A2" s="129" t="s">
        <v>0</v>
      </c>
      <c r="B2" s="126" t="s">
        <v>1</v>
      </c>
      <c r="C2" s="127"/>
      <c r="D2" s="127"/>
      <c r="E2" s="127"/>
      <c r="F2" s="127"/>
      <c r="G2" s="128"/>
      <c r="H2" s="129" t="s">
        <v>2</v>
      </c>
      <c r="I2" s="129" t="s">
        <v>44</v>
      </c>
      <c r="N2" s="39" t="s">
        <v>37</v>
      </c>
      <c r="O2" s="40" t="s">
        <v>36</v>
      </c>
      <c r="P2" s="45" t="s">
        <v>35</v>
      </c>
      <c r="Q2" s="40" t="s">
        <v>40</v>
      </c>
      <c r="R2" s="41" t="s">
        <v>41</v>
      </c>
      <c r="S2" s="6"/>
    </row>
    <row r="3" spans="1:24" ht="15" thickBot="1" x14ac:dyDescent="0.45">
      <c r="A3" s="130"/>
      <c r="B3" s="3" t="s">
        <v>50</v>
      </c>
      <c r="C3" s="4" t="s">
        <v>62</v>
      </c>
      <c r="D3" s="64" t="s">
        <v>63</v>
      </c>
      <c r="E3" s="64" t="s">
        <v>17</v>
      </c>
      <c r="F3" s="64" t="s">
        <v>18</v>
      </c>
      <c r="G3" s="5" t="s">
        <v>19</v>
      </c>
      <c r="H3" s="130"/>
      <c r="I3" s="130"/>
      <c r="M3" s="1" t="s">
        <v>14</v>
      </c>
      <c r="N3" s="12"/>
      <c r="O3" s="7"/>
      <c r="P3" s="47"/>
      <c r="Q3" s="79">
        <v>0.7</v>
      </c>
      <c r="R3" s="95">
        <v>0.3</v>
      </c>
      <c r="S3" s="6"/>
    </row>
    <row r="4" spans="1:24" ht="24.55" customHeight="1" thickBot="1" x14ac:dyDescent="0.45">
      <c r="A4" s="131" t="s">
        <v>6</v>
      </c>
      <c r="B4" s="132"/>
      <c r="C4" s="132"/>
      <c r="D4" s="132"/>
      <c r="E4" s="132"/>
      <c r="F4" s="132"/>
      <c r="G4" s="132"/>
      <c r="H4" s="132"/>
      <c r="I4" s="133"/>
      <c r="M4" s="43" t="s">
        <v>38</v>
      </c>
      <c r="N4" s="42"/>
      <c r="O4" s="48">
        <v>0.6</v>
      </c>
      <c r="P4" s="82"/>
      <c r="Q4" s="48">
        <v>0.4</v>
      </c>
      <c r="R4" s="96"/>
      <c r="S4" s="6"/>
      <c r="T4" s="2" t="s">
        <v>68</v>
      </c>
    </row>
    <row r="5" spans="1:24" ht="15" thickBot="1" x14ac:dyDescent="0.45">
      <c r="A5" s="8" t="s">
        <v>10</v>
      </c>
      <c r="B5" s="16">
        <f>+Datos!B3</f>
        <v>60620</v>
      </c>
      <c r="C5" s="17"/>
      <c r="D5" s="65"/>
      <c r="E5" s="65"/>
      <c r="F5" s="65"/>
      <c r="G5" s="18"/>
      <c r="H5" s="19">
        <f>SUM(B5:G5)</f>
        <v>60620</v>
      </c>
      <c r="I5" s="19"/>
      <c r="M5" s="44" t="s">
        <v>39</v>
      </c>
      <c r="N5" s="3"/>
      <c r="O5" s="4" t="s">
        <v>35</v>
      </c>
      <c r="P5" s="46"/>
      <c r="Q5" s="4"/>
      <c r="R5" s="5"/>
      <c r="S5" s="6"/>
      <c r="T5" s="2" t="s">
        <v>20</v>
      </c>
      <c r="U5" s="55">
        <f t="shared" ref="U5:U8" si="0">+N21</f>
        <v>0</v>
      </c>
    </row>
    <row r="6" spans="1:24" x14ac:dyDescent="0.4">
      <c r="A6" s="74" t="s">
        <v>47</v>
      </c>
      <c r="B6" s="52"/>
      <c r="C6" s="35"/>
      <c r="D6" s="70"/>
      <c r="E6" s="70"/>
      <c r="F6" s="70"/>
      <c r="G6" s="53"/>
      <c r="H6" s="54">
        <f t="shared" ref="H6:H18" si="1">SUM(B6:G6)</f>
        <v>0</v>
      </c>
      <c r="I6" s="54"/>
      <c r="M6" s="83" t="s">
        <v>72</v>
      </c>
      <c r="N6" s="85" t="s">
        <v>125</v>
      </c>
      <c r="O6" s="83"/>
      <c r="P6" s="84"/>
      <c r="Q6" s="84"/>
      <c r="R6" s="84"/>
      <c r="S6" s="6"/>
      <c r="T6" s="2" t="s">
        <v>21</v>
      </c>
      <c r="U6" s="55">
        <f t="shared" si="0"/>
        <v>0</v>
      </c>
    </row>
    <row r="7" spans="1:24" ht="16.3" customHeight="1" x14ac:dyDescent="0.4">
      <c r="A7" s="9" t="str">
        <f>"vendo en "&amp;P8&amp;" cobro "&amp;$Q$3&amp;" en "&amp;Q8&amp;" y "&amp;$R$3&amp;" en "&amp;R8</f>
        <v>vendo en mayo cobro 0,7 en junio y 0,3 en julio</v>
      </c>
      <c r="B7" s="52">
        <f>+M26*30%</f>
        <v>3000</v>
      </c>
      <c r="C7" s="35"/>
      <c r="D7" s="70"/>
      <c r="E7" s="70"/>
      <c r="F7" s="70"/>
      <c r="G7" s="53"/>
      <c r="H7" s="54">
        <f t="shared" si="1"/>
        <v>3000</v>
      </c>
      <c r="I7" s="54"/>
      <c r="J7" s="55"/>
      <c r="P7" s="2" t="s">
        <v>42</v>
      </c>
      <c r="S7" s="6"/>
      <c r="T7" s="2" t="s">
        <v>22</v>
      </c>
      <c r="U7" s="55">
        <f t="shared" si="0"/>
        <v>0</v>
      </c>
    </row>
    <row r="8" spans="1:24" ht="16.3" customHeight="1" x14ac:dyDescent="0.4">
      <c r="A8" s="9" t="str">
        <f t="shared" ref="A8:A14" si="2">"vendo en "&amp;P9&amp;" cobro "&amp;$Q$3&amp;" en "&amp;Q9&amp;" y "&amp;$R$3&amp;" en "&amp;R9</f>
        <v>vendo en junio cobro 0,7 en julio y 0,3 en agosto</v>
      </c>
      <c r="B8" s="20">
        <f>+M27*70%</f>
        <v>8400</v>
      </c>
      <c r="C8" s="21">
        <f>M27*30%</f>
        <v>3600</v>
      </c>
      <c r="D8" s="70"/>
      <c r="E8" s="70"/>
      <c r="F8" s="70"/>
      <c r="G8" s="53"/>
      <c r="H8" s="54">
        <f t="shared" si="1"/>
        <v>12000</v>
      </c>
      <c r="I8" s="54"/>
      <c r="J8" s="102"/>
      <c r="K8" s="55"/>
      <c r="O8" s="2" t="s">
        <v>23</v>
      </c>
      <c r="P8" s="2" t="s">
        <v>24</v>
      </c>
      <c r="Q8" s="2" t="s">
        <v>49</v>
      </c>
      <c r="R8" s="2" t="s">
        <v>50</v>
      </c>
      <c r="S8" s="6"/>
      <c r="T8" s="2" t="s">
        <v>23</v>
      </c>
      <c r="U8" s="55" t="str">
        <f t="shared" si="0"/>
        <v>COMPRAS</v>
      </c>
    </row>
    <row r="9" spans="1:24" ht="16.3" customHeight="1" x14ac:dyDescent="0.4">
      <c r="A9" s="9" t="str">
        <f t="shared" si="2"/>
        <v>vendo en julio cobro 0,7 en agosto y 0,3 en septiembre</v>
      </c>
      <c r="B9" s="20"/>
      <c r="C9" s="21">
        <f>+M28*70%</f>
        <v>9800</v>
      </c>
      <c r="D9" s="66">
        <f>M28*30%</f>
        <v>4200</v>
      </c>
      <c r="E9" s="66"/>
      <c r="F9" s="66"/>
      <c r="G9" s="22"/>
      <c r="H9" s="23">
        <f t="shared" si="1"/>
        <v>14000</v>
      </c>
      <c r="I9" s="23"/>
      <c r="N9" s="49"/>
      <c r="O9" s="2" t="s">
        <v>24</v>
      </c>
      <c r="P9" s="2" t="s">
        <v>49</v>
      </c>
      <c r="Q9" s="2" t="s">
        <v>50</v>
      </c>
      <c r="R9" s="2" t="s">
        <v>62</v>
      </c>
      <c r="S9" s="6"/>
      <c r="T9" s="2" t="s">
        <v>24</v>
      </c>
      <c r="U9" s="55">
        <f>+N26</f>
        <v>4000</v>
      </c>
    </row>
    <row r="10" spans="1:24" ht="16.3" customHeight="1" x14ac:dyDescent="0.4">
      <c r="A10" s="9" t="str">
        <f t="shared" si="2"/>
        <v>vendo en agosto cobro 0,7 en septiembre y 0,3 en octubre</v>
      </c>
      <c r="B10" s="20"/>
      <c r="C10" s="21"/>
      <c r="D10" s="21">
        <f>+M29*70%</f>
        <v>10500</v>
      </c>
      <c r="E10" s="66">
        <f>M29*30%</f>
        <v>4500</v>
      </c>
      <c r="F10" s="66"/>
      <c r="G10" s="22"/>
      <c r="H10" s="23">
        <f t="shared" si="1"/>
        <v>15000</v>
      </c>
      <c r="I10" s="23"/>
      <c r="N10" s="49"/>
      <c r="O10" s="2" t="s">
        <v>49</v>
      </c>
      <c r="P10" s="50" t="s">
        <v>50</v>
      </c>
      <c r="Q10" s="49" t="s">
        <v>62</v>
      </c>
      <c r="R10" s="2" t="s">
        <v>63</v>
      </c>
      <c r="S10" s="6"/>
      <c r="T10" s="2" t="s">
        <v>49</v>
      </c>
      <c r="U10" s="55">
        <f>+N27</f>
        <v>4800</v>
      </c>
    </row>
    <row r="11" spans="1:24" ht="16.3" customHeight="1" x14ac:dyDescent="0.4">
      <c r="A11" s="9" t="str">
        <f t="shared" si="2"/>
        <v>vendo en septiembre cobro 0,7 en octubre y 0,3 en noviembre</v>
      </c>
      <c r="B11" s="20"/>
      <c r="C11" s="21"/>
      <c r="D11" s="66"/>
      <c r="E11" s="21">
        <f>+M30*70%</f>
        <v>11200</v>
      </c>
      <c r="F11" s="66">
        <f>M30*30%</f>
        <v>4800</v>
      </c>
      <c r="G11" s="22"/>
      <c r="H11" s="23">
        <f t="shared" si="1"/>
        <v>16000</v>
      </c>
      <c r="I11" s="23"/>
      <c r="N11" s="49"/>
      <c r="O11" s="2" t="s">
        <v>50</v>
      </c>
      <c r="P11" s="50" t="s">
        <v>62</v>
      </c>
      <c r="Q11" s="49" t="s">
        <v>63</v>
      </c>
      <c r="R11" s="2" t="s">
        <v>17</v>
      </c>
      <c r="S11" s="6"/>
      <c r="T11" s="2" t="s">
        <v>50</v>
      </c>
      <c r="U11" s="55">
        <f>+N28</f>
        <v>5600</v>
      </c>
    </row>
    <row r="12" spans="1:24" ht="16.3" customHeight="1" x14ac:dyDescent="0.4">
      <c r="A12" s="9" t="str">
        <f t="shared" si="2"/>
        <v>vendo en octubre cobro 0,7 en noviembre y 0,3 en diciembre</v>
      </c>
      <c r="B12" s="52"/>
      <c r="C12" s="35"/>
      <c r="D12" s="70"/>
      <c r="E12" s="70"/>
      <c r="F12" s="21">
        <f>+M31*70%</f>
        <v>11900</v>
      </c>
      <c r="G12" s="53">
        <f>M31*30%</f>
        <v>5100</v>
      </c>
      <c r="H12" s="23">
        <f t="shared" si="1"/>
        <v>17000</v>
      </c>
      <c r="I12" s="23"/>
      <c r="N12" s="49"/>
      <c r="O12" s="2" t="s">
        <v>62</v>
      </c>
      <c r="P12" s="50" t="s">
        <v>63</v>
      </c>
      <c r="Q12" s="49" t="s">
        <v>17</v>
      </c>
      <c r="R12" s="2" t="s">
        <v>18</v>
      </c>
      <c r="S12" s="6"/>
      <c r="T12" s="2" t="s">
        <v>62</v>
      </c>
      <c r="U12" s="55">
        <f>+N29</f>
        <v>6000</v>
      </c>
    </row>
    <row r="13" spans="1:24" ht="16.3" customHeight="1" x14ac:dyDescent="0.4">
      <c r="A13" s="9" t="str">
        <f t="shared" si="2"/>
        <v>vendo en noviembre cobro 0,7 en diciembre y 0,3 en enero</v>
      </c>
      <c r="B13" s="20"/>
      <c r="C13" s="21"/>
      <c r="D13" s="66"/>
      <c r="E13" s="66"/>
      <c r="F13" s="66"/>
      <c r="G13" s="22">
        <f>+M32*70%</f>
        <v>12600</v>
      </c>
      <c r="H13" s="23">
        <f t="shared" si="1"/>
        <v>12600</v>
      </c>
      <c r="I13" s="23">
        <f>+M32*30%</f>
        <v>5400</v>
      </c>
      <c r="J13" s="80" t="s">
        <v>69</v>
      </c>
      <c r="N13" s="49"/>
      <c r="O13" s="2" t="s">
        <v>63</v>
      </c>
      <c r="P13" s="50" t="s">
        <v>17</v>
      </c>
      <c r="Q13" s="49" t="s">
        <v>18</v>
      </c>
      <c r="R13" s="2" t="s">
        <v>19</v>
      </c>
      <c r="S13" s="6"/>
      <c r="U13" s="55"/>
    </row>
    <row r="14" spans="1:24" x14ac:dyDescent="0.4">
      <c r="A14" s="9" t="str">
        <f t="shared" si="2"/>
        <v>vendo en diciembre cobro 0,7 en enero y 0,3 en febrero</v>
      </c>
      <c r="B14" s="20"/>
      <c r="C14" s="21"/>
      <c r="D14" s="66"/>
      <c r="E14" s="66"/>
      <c r="F14" s="66"/>
      <c r="G14" s="22"/>
      <c r="H14" s="23">
        <f t="shared" si="1"/>
        <v>0</v>
      </c>
      <c r="I14" s="23">
        <f>+M33</f>
        <v>19000</v>
      </c>
      <c r="N14" s="49"/>
      <c r="O14" s="2" t="s">
        <v>17</v>
      </c>
      <c r="P14" s="50" t="s">
        <v>18</v>
      </c>
      <c r="Q14" s="49" t="s">
        <v>19</v>
      </c>
      <c r="R14" s="2" t="s">
        <v>20</v>
      </c>
      <c r="S14" s="6"/>
      <c r="T14" s="2" t="s">
        <v>63</v>
      </c>
      <c r="U14" s="55">
        <f t="shared" ref="U14:U17" si="3">+N30</f>
        <v>6400</v>
      </c>
    </row>
    <row r="15" spans="1:24" ht="15.9" customHeight="1" x14ac:dyDescent="0.4">
      <c r="A15" s="9" t="s">
        <v>139</v>
      </c>
      <c r="B15" s="20"/>
      <c r="C15" s="21"/>
      <c r="D15" s="66"/>
      <c r="E15" s="66">
        <v>12000</v>
      </c>
      <c r="F15" s="66"/>
      <c r="G15" s="22"/>
      <c r="H15" s="23">
        <f t="shared" si="1"/>
        <v>12000</v>
      </c>
      <c r="I15" s="23"/>
      <c r="N15" s="49"/>
      <c r="O15" s="2" t="s">
        <v>18</v>
      </c>
      <c r="P15" s="50" t="s">
        <v>19</v>
      </c>
      <c r="Q15" s="49" t="s">
        <v>20</v>
      </c>
      <c r="R15" s="2" t="s">
        <v>21</v>
      </c>
      <c r="S15" s="6"/>
      <c r="T15" s="2" t="s">
        <v>17</v>
      </c>
      <c r="U15" s="55">
        <f t="shared" si="3"/>
        <v>6800</v>
      </c>
    </row>
    <row r="16" spans="1:24" x14ac:dyDescent="0.4">
      <c r="A16" s="9" t="s">
        <v>91</v>
      </c>
      <c r="B16" s="20"/>
      <c r="C16" s="21"/>
      <c r="D16" s="66"/>
      <c r="E16" s="66">
        <f>+ECONÓMICO!$D$33/5</f>
        <v>658</v>
      </c>
      <c r="F16" s="66">
        <f>+ECONÓMICO!$D$33/5</f>
        <v>658</v>
      </c>
      <c r="G16" s="22">
        <f>+ECONÓMICO!$D$33/5</f>
        <v>658</v>
      </c>
      <c r="H16" s="23">
        <f t="shared" si="1"/>
        <v>1974</v>
      </c>
      <c r="I16" s="23">
        <f>+G16*2</f>
        <v>1316</v>
      </c>
      <c r="J16" s="6" t="s">
        <v>155</v>
      </c>
      <c r="O16" s="2" t="s">
        <v>19</v>
      </c>
      <c r="P16" s="2" t="s">
        <v>20</v>
      </c>
      <c r="Q16" s="49" t="s">
        <v>21</v>
      </c>
      <c r="R16" s="2" t="s">
        <v>22</v>
      </c>
      <c r="S16" s="6"/>
      <c r="T16" s="2" t="s">
        <v>18</v>
      </c>
      <c r="U16" s="55">
        <f t="shared" si="3"/>
        <v>7200</v>
      </c>
    </row>
    <row r="17" spans="1:21" x14ac:dyDescent="0.4">
      <c r="A17" s="10"/>
      <c r="B17" s="20"/>
      <c r="C17" s="21"/>
      <c r="D17" s="66"/>
      <c r="E17" s="66"/>
      <c r="F17" s="66"/>
      <c r="G17" s="22"/>
      <c r="H17" s="23">
        <f t="shared" si="1"/>
        <v>0</v>
      </c>
      <c r="I17" s="23"/>
      <c r="J17" s="6"/>
      <c r="O17" s="2" t="s">
        <v>20</v>
      </c>
      <c r="P17" s="2" t="s">
        <v>21</v>
      </c>
      <c r="Q17" s="49" t="s">
        <v>22</v>
      </c>
      <c r="R17" s="2" t="s">
        <v>23</v>
      </c>
      <c r="S17" s="6"/>
      <c r="T17" s="2" t="s">
        <v>19</v>
      </c>
      <c r="U17" s="55">
        <f t="shared" si="3"/>
        <v>7600</v>
      </c>
    </row>
    <row r="18" spans="1:21" ht="15" thickBot="1" x14ac:dyDescent="0.45">
      <c r="A18" s="75"/>
      <c r="B18" s="36"/>
      <c r="C18" s="37"/>
      <c r="D18" s="68"/>
      <c r="E18" s="68"/>
      <c r="F18" s="68">
        <f>IF(F$3=$A18,VLOOKUP(F$3,Datos!$G$12:$H$18,2,FALSE)*0.7,IF($A18=E$3,VLOOKUP($A18,Datos!$G$12:$H$18,2,FALSE)*0.3,0))</f>
        <v>0</v>
      </c>
      <c r="G18" s="38">
        <f>IF(G$3=$A18,VLOOKUP(G$3,Datos!$G$12:$H$18,2,FALSE)*0.7,IF($A18=F$3,VLOOKUP($A18,Datos!$G$12:$H$18,2,FALSE)*0.3,0))</f>
        <v>0</v>
      </c>
      <c r="H18" s="73">
        <f t="shared" si="1"/>
        <v>0</v>
      </c>
      <c r="I18" s="73"/>
      <c r="O18" s="2" t="s">
        <v>20</v>
      </c>
      <c r="P18" s="2" t="s">
        <v>21</v>
      </c>
      <c r="Q18" s="49" t="s">
        <v>22</v>
      </c>
      <c r="S18" s="6"/>
      <c r="T18" s="2" t="s">
        <v>20</v>
      </c>
      <c r="U18" s="55">
        <f>+N34</f>
        <v>8000</v>
      </c>
    </row>
    <row r="19" spans="1:21" ht="15" thickBot="1" x14ac:dyDescent="0.45">
      <c r="A19" s="11" t="s">
        <v>45</v>
      </c>
      <c r="B19" s="24">
        <f t="shared" ref="B19:H19" si="4">SUM(B5:B18)</f>
        <v>72020</v>
      </c>
      <c r="C19" s="25">
        <f t="shared" si="4"/>
        <v>13400</v>
      </c>
      <c r="D19" s="67">
        <f t="shared" si="4"/>
        <v>14700</v>
      </c>
      <c r="E19" s="67">
        <f t="shared" si="4"/>
        <v>28358</v>
      </c>
      <c r="F19" s="67">
        <f t="shared" si="4"/>
        <v>17358</v>
      </c>
      <c r="G19" s="26">
        <f t="shared" si="4"/>
        <v>18358</v>
      </c>
      <c r="H19" s="26">
        <f t="shared" si="4"/>
        <v>164194</v>
      </c>
      <c r="I19" s="26"/>
      <c r="S19" s="6"/>
    </row>
    <row r="20" spans="1:21" ht="18.899999999999999" thickBot="1" x14ac:dyDescent="0.45">
      <c r="A20" s="131" t="s">
        <v>7</v>
      </c>
      <c r="B20" s="132"/>
      <c r="C20" s="132"/>
      <c r="D20" s="132"/>
      <c r="E20" s="132"/>
      <c r="F20" s="132"/>
      <c r="G20" s="132"/>
      <c r="H20" s="132"/>
      <c r="I20" s="133"/>
      <c r="N20" s="109" t="s">
        <v>124</v>
      </c>
      <c r="O20" s="97">
        <f>100%-T20</f>
        <v>0.4</v>
      </c>
      <c r="P20" s="6" t="s">
        <v>123</v>
      </c>
      <c r="S20" s="6"/>
      <c r="T20" s="97">
        <f>+Datos!$C$22</f>
        <v>0.6</v>
      </c>
    </row>
    <row r="21" spans="1:21" x14ac:dyDescent="0.4">
      <c r="A21" s="98" t="s">
        <v>127</v>
      </c>
      <c r="B21" s="16">
        <v>-500</v>
      </c>
      <c r="C21" s="17">
        <f>+ECONÓMICO!B9</f>
        <v>-500</v>
      </c>
      <c r="D21" s="17">
        <f>+ECONÓMICO!C9</f>
        <v>-500</v>
      </c>
      <c r="E21" s="17">
        <f>+ECONÓMICO!D9</f>
        <v>-500</v>
      </c>
      <c r="F21" s="17">
        <f>+ECONÓMICO!E9</f>
        <v>-625</v>
      </c>
      <c r="G21" s="65">
        <f>+ECONÓMICO!F9</f>
        <v>-625</v>
      </c>
      <c r="H21" s="76">
        <f>SUM(B21:G21)</f>
        <v>-3250</v>
      </c>
      <c r="I21" s="19">
        <f>-ECONÓMICO!G9</f>
        <v>625</v>
      </c>
      <c r="J21" s="6" t="s">
        <v>131</v>
      </c>
      <c r="L21" s="55" t="str">
        <f>+Datos!A14</f>
        <v>enero</v>
      </c>
      <c r="M21" s="55">
        <f>+Datos!B14</f>
        <v>0</v>
      </c>
      <c r="N21" s="55">
        <f t="shared" ref="N21:N23" si="5">+M21*0.6</f>
        <v>0</v>
      </c>
    </row>
    <row r="22" spans="1:21" ht="17.149999999999999" customHeight="1" x14ac:dyDescent="0.4">
      <c r="A22" s="9" t="s">
        <v>140</v>
      </c>
      <c r="B22" s="52"/>
      <c r="C22" s="35"/>
      <c r="D22" s="35"/>
      <c r="E22" s="35"/>
      <c r="F22" s="35">
        <f>-12000*1.1/4</f>
        <v>-3300.0000000000005</v>
      </c>
      <c r="G22" s="70">
        <f>-12000*1.1/4</f>
        <v>-3300.0000000000005</v>
      </c>
      <c r="H22" s="77">
        <f t="shared" ref="H22:H28" si="6">SUM(B22:G22)</f>
        <v>-6600.0000000000009</v>
      </c>
      <c r="I22" s="54">
        <f>-G22*2</f>
        <v>6600.0000000000009</v>
      </c>
      <c r="J22" s="6" t="s">
        <v>141</v>
      </c>
      <c r="L22" s="55" t="str">
        <f>+Datos!A15</f>
        <v>febrero</v>
      </c>
      <c r="M22" s="55">
        <f>+Datos!B15</f>
        <v>0</v>
      </c>
      <c r="N22" s="55">
        <f t="shared" si="5"/>
        <v>0</v>
      </c>
    </row>
    <row r="23" spans="1:21" ht="13.75" customHeight="1" x14ac:dyDescent="0.4">
      <c r="A23" s="9" t="s">
        <v>172</v>
      </c>
      <c r="B23" s="52"/>
      <c r="C23" s="35"/>
      <c r="D23" s="35"/>
      <c r="E23" s="35">
        <f>-E15</f>
        <v>-12000</v>
      </c>
      <c r="F23" s="35"/>
      <c r="G23" s="70"/>
      <c r="H23" s="77">
        <f t="shared" si="6"/>
        <v>-12000</v>
      </c>
      <c r="I23" s="54"/>
      <c r="J23" s="6"/>
      <c r="L23" s="55" t="str">
        <f>+Datos!A16</f>
        <v>marzo</v>
      </c>
      <c r="M23" s="55">
        <f>+Datos!B16</f>
        <v>0</v>
      </c>
      <c r="N23" s="55">
        <f t="shared" si="5"/>
        <v>0</v>
      </c>
    </row>
    <row r="24" spans="1:21" x14ac:dyDescent="0.4">
      <c r="A24" s="9" t="str">
        <f t="shared" ref="A24:A31" si="7">+"compro en "&amp;O9&amp;" para "&amp;P9&amp;" pago "&amp;$O$4&amp;" en "&amp;O9&amp;" y "&amp;$Q$4&amp;" en "&amp;Q9</f>
        <v>compro en mayo para junio pago 0,6 en mayo y 0,4 en julio</v>
      </c>
      <c r="B24" s="52">
        <f>-N27*Q4</f>
        <v>-1920</v>
      </c>
      <c r="C24" s="35"/>
      <c r="D24" s="70"/>
      <c r="E24" s="70"/>
      <c r="F24" s="70"/>
      <c r="G24" s="70"/>
      <c r="H24" s="77">
        <f>SUM(B24:G24)</f>
        <v>-1920</v>
      </c>
      <c r="I24" s="54"/>
      <c r="J24" s="6"/>
      <c r="L24" s="55" t="str">
        <f>+Datos!A17</f>
        <v>abril</v>
      </c>
      <c r="M24" s="55" t="s">
        <v>14</v>
      </c>
      <c r="N24" s="55" t="s">
        <v>38</v>
      </c>
    </row>
    <row r="25" spans="1:21" x14ac:dyDescent="0.4">
      <c r="A25" s="9" t="str">
        <f t="shared" si="7"/>
        <v>compro en junio para julio pago 0,6 en junio y 0,4 en agosto</v>
      </c>
      <c r="B25" s="110"/>
      <c r="C25" s="99">
        <f>-N28*Q4</f>
        <v>-2240</v>
      </c>
      <c r="D25" s="100"/>
      <c r="E25" s="100"/>
      <c r="F25" s="100"/>
      <c r="G25" s="100"/>
      <c r="H25" s="77">
        <f>SUM(B25:G25)</f>
        <v>-2240</v>
      </c>
      <c r="I25" s="101"/>
      <c r="J25" s="6"/>
      <c r="L25" s="55"/>
      <c r="M25" s="55"/>
      <c r="N25" s="55"/>
    </row>
    <row r="26" spans="1:21" x14ac:dyDescent="0.4">
      <c r="A26" s="9" t="str">
        <f t="shared" si="7"/>
        <v>compro en julio para agosto pago 0,6 en julio y 0,4 en septiembre</v>
      </c>
      <c r="B26" s="52">
        <f>-$N29*$O$4</f>
        <v>-3600</v>
      </c>
      <c r="C26" s="35"/>
      <c r="D26" s="70">
        <f>-$N29*$Q$4</f>
        <v>-2400</v>
      </c>
      <c r="E26" s="70"/>
      <c r="F26" s="70"/>
      <c r="G26" s="70"/>
      <c r="H26" s="111">
        <f>SUM(B26:G26)</f>
        <v>-6000</v>
      </c>
      <c r="I26" s="54"/>
      <c r="J26" s="6"/>
      <c r="L26" s="55" t="str">
        <f>+Datos!A18</f>
        <v>mayo</v>
      </c>
      <c r="M26" s="55">
        <f>+Datos!B18</f>
        <v>10000</v>
      </c>
      <c r="N26" s="55">
        <f t="shared" ref="N26:N34" si="8">+M26*$O$20</f>
        <v>4000</v>
      </c>
    </row>
    <row r="27" spans="1:21" x14ac:dyDescent="0.4">
      <c r="A27" s="9" t="str">
        <f t="shared" si="7"/>
        <v>compro en agosto para septiembre pago 0,6 en agosto y 0,4 en octubre</v>
      </c>
      <c r="B27" s="52"/>
      <c r="C27" s="35">
        <f>-$N30*$O$4</f>
        <v>-3840</v>
      </c>
      <c r="D27" s="35"/>
      <c r="E27" s="35">
        <f>-$N30*$Q$4</f>
        <v>-2560</v>
      </c>
      <c r="F27" s="35"/>
      <c r="G27" s="70"/>
      <c r="H27" s="77">
        <f t="shared" si="6"/>
        <v>-6400</v>
      </c>
      <c r="I27" s="54"/>
      <c r="J27" s="6"/>
      <c r="L27" s="55" t="str">
        <f>+Datos!A19</f>
        <v>junio</v>
      </c>
      <c r="M27" s="55">
        <f>+Datos!B19</f>
        <v>12000</v>
      </c>
      <c r="N27" s="55">
        <f t="shared" si="8"/>
        <v>4800</v>
      </c>
    </row>
    <row r="28" spans="1:21" x14ac:dyDescent="0.4">
      <c r="A28" s="9" t="str">
        <f t="shared" si="7"/>
        <v>compro en septiembre para octubre pago 0,6 en septiembre y 0,4 en noviembre</v>
      </c>
      <c r="B28" s="52"/>
      <c r="C28" s="35"/>
      <c r="D28" s="35">
        <f>-$N31*$O$4</f>
        <v>-4080</v>
      </c>
      <c r="E28" s="35"/>
      <c r="F28" s="35">
        <f>-$N31*$Q$4</f>
        <v>-2720</v>
      </c>
      <c r="G28" s="70"/>
      <c r="H28" s="77">
        <f t="shared" si="6"/>
        <v>-6800</v>
      </c>
      <c r="I28" s="54"/>
      <c r="J28" s="6"/>
      <c r="L28" s="55" t="str">
        <f>+Datos!G12</f>
        <v>julio</v>
      </c>
      <c r="M28" s="55">
        <f>+Datos!H12</f>
        <v>14000</v>
      </c>
      <c r="N28" s="55">
        <f t="shared" si="8"/>
        <v>5600</v>
      </c>
    </row>
    <row r="29" spans="1:21" x14ac:dyDescent="0.4">
      <c r="A29" s="9" t="str">
        <f t="shared" si="7"/>
        <v>compro en octubre para noviembre pago 0,6 en octubre y 0,4 en diciembre</v>
      </c>
      <c r="B29" s="52"/>
      <c r="C29" s="35"/>
      <c r="D29" s="70"/>
      <c r="E29" s="70">
        <f>-$N32*$O$4</f>
        <v>-4320</v>
      </c>
      <c r="F29" s="70"/>
      <c r="G29" s="70">
        <f>-$N32*$Q$4</f>
        <v>-2880</v>
      </c>
      <c r="H29" s="77">
        <f t="shared" ref="H29:H31" si="9">SUM(B29:G29)</f>
        <v>-7200</v>
      </c>
      <c r="I29" s="54"/>
      <c r="J29" s="6"/>
      <c r="L29" s="55" t="str">
        <f>+Datos!G13</f>
        <v>agosto</v>
      </c>
      <c r="M29" s="55">
        <f>+Datos!H13</f>
        <v>15000</v>
      </c>
      <c r="N29" s="55">
        <f t="shared" si="8"/>
        <v>6000</v>
      </c>
    </row>
    <row r="30" spans="1:21" x14ac:dyDescent="0.4">
      <c r="A30" s="9" t="str">
        <f t="shared" si="7"/>
        <v>compro en noviembre para diciembre pago 0,6 en noviembre y 0,4 en enero</v>
      </c>
      <c r="B30" s="52"/>
      <c r="C30" s="35"/>
      <c r="D30" s="35"/>
      <c r="E30" s="70"/>
      <c r="F30" s="70">
        <f>-$N33*$O$4</f>
        <v>-4560</v>
      </c>
      <c r="G30" s="70"/>
      <c r="H30" s="77">
        <f t="shared" si="9"/>
        <v>-4560</v>
      </c>
      <c r="I30" s="70">
        <f>$N33*$Q$4</f>
        <v>3040</v>
      </c>
      <c r="J30" s="102"/>
      <c r="L30" s="55" t="str">
        <f>+Datos!G14</f>
        <v>septiembre</v>
      </c>
      <c r="M30" s="55">
        <f>+Datos!H14</f>
        <v>16000</v>
      </c>
      <c r="N30" s="55">
        <f t="shared" si="8"/>
        <v>6400</v>
      </c>
    </row>
    <row r="31" spans="1:21" x14ac:dyDescent="0.4">
      <c r="A31" s="9" t="str">
        <f t="shared" si="7"/>
        <v>compro en diciembre para enero pago 0,6 en diciembre y 0,4 en febrero</v>
      </c>
      <c r="B31" s="52"/>
      <c r="C31" s="35"/>
      <c r="D31" s="70"/>
      <c r="E31" s="35"/>
      <c r="F31" s="70"/>
      <c r="G31" s="70">
        <f>-$N34*$O$4</f>
        <v>-4800</v>
      </c>
      <c r="H31" s="111">
        <f t="shared" si="9"/>
        <v>-4800</v>
      </c>
      <c r="I31" s="54">
        <f>$N34*$Q$4</f>
        <v>3200</v>
      </c>
      <c r="J31" s="102"/>
      <c r="L31" s="55" t="str">
        <f>+Datos!G15</f>
        <v>octubre</v>
      </c>
      <c r="M31" s="55">
        <f>+Datos!H15</f>
        <v>17000</v>
      </c>
      <c r="N31" s="55">
        <f t="shared" si="8"/>
        <v>6800</v>
      </c>
    </row>
    <row r="32" spans="1:21" ht="15" customHeight="1" x14ac:dyDescent="0.4">
      <c r="A32" s="9" t="s">
        <v>159</v>
      </c>
      <c r="B32" s="52"/>
      <c r="C32" s="35"/>
      <c r="D32" s="35"/>
      <c r="E32" s="70"/>
      <c r="F32" s="35">
        <f>-ECONÓMICO!J30*1.1</f>
        <v>-2024.0000000000002</v>
      </c>
      <c r="G32" s="70"/>
      <c r="H32" s="77">
        <f t="shared" ref="H32:H37" si="10">SUM(B32:G32)</f>
        <v>-2024.0000000000002</v>
      </c>
      <c r="I32" s="54"/>
      <c r="J32" s="6"/>
      <c r="L32" s="55" t="str">
        <f>+Datos!G16</f>
        <v>noviembre</v>
      </c>
      <c r="M32" s="55">
        <f>+Datos!H16</f>
        <v>18000</v>
      </c>
      <c r="N32" s="55">
        <f t="shared" si="8"/>
        <v>7200</v>
      </c>
    </row>
    <row r="33" spans="1:14" ht="15" customHeight="1" x14ac:dyDescent="0.4">
      <c r="A33" s="9" t="s">
        <v>162</v>
      </c>
      <c r="B33" s="52"/>
      <c r="C33" s="35">
        <v>-700</v>
      </c>
      <c r="D33" s="35">
        <v>-700</v>
      </c>
      <c r="E33" s="35">
        <v>-700</v>
      </c>
      <c r="F33" s="70">
        <v>-700</v>
      </c>
      <c r="G33" s="35">
        <v>-700</v>
      </c>
      <c r="H33" s="77">
        <f t="shared" si="10"/>
        <v>-3500</v>
      </c>
      <c r="I33" s="54">
        <v>700</v>
      </c>
      <c r="J33" s="6" t="s">
        <v>163</v>
      </c>
      <c r="L33" s="55" t="str">
        <f>+Datos!G17</f>
        <v>diciembre</v>
      </c>
      <c r="M33" s="55">
        <f>+Datos!H17</f>
        <v>19000</v>
      </c>
      <c r="N33" s="55">
        <f t="shared" si="8"/>
        <v>7600</v>
      </c>
    </row>
    <row r="34" spans="1:14" x14ac:dyDescent="0.4">
      <c r="A34" s="9" t="s">
        <v>167</v>
      </c>
      <c r="B34" s="52"/>
      <c r="C34" s="35"/>
      <c r="D34" s="70"/>
      <c r="E34" s="35"/>
      <c r="F34" s="35"/>
      <c r="G34" s="70">
        <f>-G12</f>
        <v>-5100</v>
      </c>
      <c r="H34" s="77">
        <f t="shared" si="10"/>
        <v>-5100</v>
      </c>
      <c r="I34" s="54"/>
      <c r="L34" s="2" t="s">
        <v>20</v>
      </c>
      <c r="M34" s="55">
        <f>+Datos!H18</f>
        <v>20000</v>
      </c>
      <c r="N34" s="55">
        <f t="shared" si="8"/>
        <v>8000</v>
      </c>
    </row>
    <row r="35" spans="1:14" x14ac:dyDescent="0.4">
      <c r="A35" s="9" t="s">
        <v>168</v>
      </c>
      <c r="B35" s="52"/>
      <c r="C35" s="35"/>
      <c r="D35" s="70"/>
      <c r="E35" s="70"/>
      <c r="F35" s="70"/>
      <c r="G35" s="35"/>
      <c r="H35" s="77">
        <f t="shared" si="10"/>
        <v>0</v>
      </c>
      <c r="I35" s="54">
        <v>570</v>
      </c>
      <c r="J35" s="6"/>
      <c r="M35" s="55"/>
      <c r="N35" s="55"/>
    </row>
    <row r="36" spans="1:14" x14ac:dyDescent="0.4">
      <c r="A36" s="9" t="s">
        <v>169</v>
      </c>
      <c r="B36" s="20"/>
      <c r="C36" s="21"/>
      <c r="D36" s="66"/>
      <c r="E36" s="66">
        <v>-75000</v>
      </c>
      <c r="F36" s="66"/>
      <c r="G36" s="66"/>
      <c r="H36" s="77">
        <f t="shared" si="10"/>
        <v>-75000</v>
      </c>
      <c r="I36" s="23"/>
      <c r="J36" s="6"/>
      <c r="M36" s="134"/>
      <c r="N36" s="134"/>
    </row>
    <row r="37" spans="1:14" ht="15" thickBot="1" x14ac:dyDescent="0.45">
      <c r="A37" s="9"/>
      <c r="B37" s="36"/>
      <c r="C37" s="37"/>
      <c r="D37" s="68"/>
      <c r="E37" s="68"/>
      <c r="F37" s="68"/>
      <c r="G37" s="38"/>
      <c r="H37" s="78">
        <f t="shared" si="10"/>
        <v>0</v>
      </c>
      <c r="I37" s="73"/>
      <c r="M37" s="72"/>
      <c r="N37" s="55"/>
    </row>
    <row r="38" spans="1:14" ht="15" thickBot="1" x14ac:dyDescent="0.45">
      <c r="A38" s="112" t="s">
        <v>46</v>
      </c>
      <c r="B38" s="24">
        <f t="shared" ref="B38:H38" si="11">SUM(B21:B37)</f>
        <v>-6020</v>
      </c>
      <c r="C38" s="25">
        <f t="shared" si="11"/>
        <v>-7280</v>
      </c>
      <c r="D38" s="67">
        <f t="shared" si="11"/>
        <v>-7680</v>
      </c>
      <c r="E38" s="67">
        <f t="shared" si="11"/>
        <v>-95080</v>
      </c>
      <c r="F38" s="67">
        <f t="shared" si="11"/>
        <v>-13929</v>
      </c>
      <c r="G38" s="26">
        <f t="shared" si="11"/>
        <v>-17405</v>
      </c>
      <c r="H38" s="26">
        <f t="shared" si="11"/>
        <v>-147394</v>
      </c>
      <c r="I38" s="51"/>
      <c r="M38" s="72"/>
      <c r="N38" s="55"/>
    </row>
    <row r="39" spans="1:14" ht="20.25" customHeight="1" thickBot="1" x14ac:dyDescent="0.45">
      <c r="A39" s="112" t="s">
        <v>80</v>
      </c>
      <c r="B39" s="32">
        <f t="shared" ref="B39:H39" si="12">+B19+B38</f>
        <v>66000</v>
      </c>
      <c r="C39" s="33">
        <f t="shared" si="12"/>
        <v>6120</v>
      </c>
      <c r="D39" s="69">
        <f t="shared" si="12"/>
        <v>7020</v>
      </c>
      <c r="E39" s="69">
        <f t="shared" si="12"/>
        <v>-66722</v>
      </c>
      <c r="F39" s="69">
        <f t="shared" si="12"/>
        <v>3429</v>
      </c>
      <c r="G39" s="34">
        <f t="shared" si="12"/>
        <v>953</v>
      </c>
      <c r="H39" s="34">
        <f t="shared" si="12"/>
        <v>16800</v>
      </c>
      <c r="I39" s="51">
        <f>SUM(I21:I37)</f>
        <v>14735</v>
      </c>
    </row>
    <row r="40" spans="1:14" ht="20.25" customHeight="1" thickBot="1" x14ac:dyDescent="0.45">
      <c r="A40" s="112" t="s">
        <v>77</v>
      </c>
      <c r="B40" s="32">
        <f>+B39</f>
        <v>66000</v>
      </c>
      <c r="C40" s="33">
        <f>+C39+B40</f>
        <v>72120</v>
      </c>
      <c r="D40" s="69">
        <f t="shared" ref="D40:G40" si="13">+D39+C40</f>
        <v>79140</v>
      </c>
      <c r="E40" s="69">
        <f t="shared" si="13"/>
        <v>12418</v>
      </c>
      <c r="F40" s="69">
        <f>+F39+E40</f>
        <v>15847</v>
      </c>
      <c r="G40" s="34">
        <f t="shared" si="13"/>
        <v>16800</v>
      </c>
      <c r="H40" s="26"/>
      <c r="I40" s="51"/>
    </row>
    <row r="41" spans="1:14" ht="20.25" customHeight="1" x14ac:dyDescent="0.4"/>
    <row r="42" spans="1:14" ht="28.3" customHeight="1" x14ac:dyDescent="0.4">
      <c r="E42" s="2" t="s">
        <v>128</v>
      </c>
      <c r="J42" s="6"/>
    </row>
    <row r="43" spans="1:14" ht="28.3" customHeight="1" x14ac:dyDescent="0.4">
      <c r="J43" s="6"/>
    </row>
    <row r="44" spans="1:14" ht="28.3" customHeight="1" x14ac:dyDescent="0.4">
      <c r="J44" s="6"/>
    </row>
    <row r="45" spans="1:14" x14ac:dyDescent="0.4">
      <c r="B45" s="2" t="s">
        <v>78</v>
      </c>
      <c r="C45" s="55">
        <f>SUM(B29:C30)</f>
        <v>0</v>
      </c>
      <c r="D45" s="6" t="s">
        <v>90</v>
      </c>
      <c r="J45" s="6"/>
    </row>
    <row r="46" spans="1:14" x14ac:dyDescent="0.4">
      <c r="J46" s="6"/>
    </row>
  </sheetData>
  <mergeCells count="9">
    <mergeCell ref="M36:N36"/>
    <mergeCell ref="A4:I4"/>
    <mergeCell ref="A20:I20"/>
    <mergeCell ref="M1:R1"/>
    <mergeCell ref="I2:I3"/>
    <mergeCell ref="A1:I1"/>
    <mergeCell ref="A2:A3"/>
    <mergeCell ref="B2:G2"/>
    <mergeCell ref="H2:H3"/>
  </mergeCells>
  <phoneticPr fontId="4" type="noConversion"/>
  <pageMargins left="0.25" right="0.25" top="0.75" bottom="0.75" header="0.3" footer="0.3"/>
  <pageSetup paperSize="9" scale="4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A8ACF-C40C-40B5-A45D-D539566CF32B}">
  <dimension ref="A1:L27"/>
  <sheetViews>
    <sheetView showGridLines="0" zoomScale="81" zoomScaleNormal="78" workbookViewId="0">
      <selection activeCell="B28" sqref="B28"/>
    </sheetView>
  </sheetViews>
  <sheetFormatPr baseColWidth="10" defaultRowHeight="14.6" x14ac:dyDescent="0.4"/>
  <cols>
    <col min="1" max="1" width="23.921875" style="57" customWidth="1"/>
    <col min="2" max="2" width="14.53515625" style="57" customWidth="1"/>
    <col min="3" max="3" width="11.07421875" style="57"/>
    <col min="4" max="4" width="26.84375" style="57" customWidth="1"/>
    <col min="5" max="5" width="13.3046875" style="57" customWidth="1"/>
    <col min="6" max="6" width="11.53515625" style="57" bestFit="1" customWidth="1"/>
    <col min="7" max="8" width="11.07421875" style="57"/>
    <col min="9" max="9" width="62.921875" style="57" bestFit="1" customWidth="1"/>
    <col min="10" max="10" width="3.61328125" style="57" customWidth="1"/>
    <col min="11" max="11" width="11.53515625" style="57" bestFit="1" customWidth="1"/>
    <col min="12" max="16384" width="11.07421875" style="57"/>
  </cols>
  <sheetData>
    <row r="1" spans="1:12" ht="37.299999999999997" customHeight="1" x14ac:dyDescent="0.5">
      <c r="A1" s="142" t="s">
        <v>73</v>
      </c>
      <c r="B1" s="142"/>
      <c r="C1" s="142"/>
      <c r="D1" s="142"/>
      <c r="E1" s="142"/>
    </row>
    <row r="2" spans="1:12" ht="23.15" customHeight="1" x14ac:dyDescent="0.4">
      <c r="A2" s="56" t="s">
        <v>9</v>
      </c>
      <c r="D2" s="56" t="s">
        <v>12</v>
      </c>
      <c r="I2" s="56" t="s">
        <v>51</v>
      </c>
    </row>
    <row r="3" spans="1:12" x14ac:dyDescent="0.4">
      <c r="A3" s="57" t="s">
        <v>10</v>
      </c>
      <c r="B3" s="57">
        <f>+FINANCIERO!H39</f>
        <v>16800</v>
      </c>
      <c r="D3" s="56" t="s">
        <v>53</v>
      </c>
      <c r="I3" s="56" t="s">
        <v>48</v>
      </c>
      <c r="J3" s="56"/>
      <c r="K3" s="57">
        <f>+Datos!B5</f>
        <v>6500</v>
      </c>
      <c r="L3" s="56" t="s">
        <v>52</v>
      </c>
    </row>
    <row r="4" spans="1:12" x14ac:dyDescent="0.4">
      <c r="A4" s="57" t="s">
        <v>70</v>
      </c>
      <c r="B4" s="57">
        <f>+FINANCIERO!I13+FINANCIERO!I14</f>
        <v>24400</v>
      </c>
      <c r="D4" s="57" t="s">
        <v>102</v>
      </c>
      <c r="E4" s="57">
        <f>+FINANCIERO!I33</f>
        <v>700</v>
      </c>
      <c r="I4" s="57" t="s">
        <v>94</v>
      </c>
      <c r="K4" s="58">
        <f>-FINANCIERO!U11</f>
        <v>-5600</v>
      </c>
    </row>
    <row r="5" spans="1:12" x14ac:dyDescent="0.4">
      <c r="A5" s="57" t="s">
        <v>11</v>
      </c>
      <c r="B5" s="57">
        <f>+K9</f>
        <v>8000</v>
      </c>
      <c r="D5" s="57" t="s">
        <v>103</v>
      </c>
      <c r="E5" s="57">
        <v>0</v>
      </c>
      <c r="I5" s="57" t="s">
        <v>95</v>
      </c>
      <c r="K5" s="57">
        <f>+K3+K4</f>
        <v>900</v>
      </c>
    </row>
    <row r="6" spans="1:12" x14ac:dyDescent="0.4">
      <c r="A6" s="57" t="s">
        <v>83</v>
      </c>
      <c r="B6" s="57">
        <f>+ECONÓMICO!G24+ECONÓMICO!G25</f>
        <v>12000</v>
      </c>
      <c r="D6" s="57" t="s">
        <v>101</v>
      </c>
      <c r="E6" s="57">
        <f>+FINANCIERO!I22</f>
        <v>6600.0000000000009</v>
      </c>
      <c r="I6" s="57" t="s">
        <v>96</v>
      </c>
      <c r="K6" s="58">
        <f>-K5</f>
        <v>-900</v>
      </c>
    </row>
    <row r="7" spans="1:12" x14ac:dyDescent="0.4">
      <c r="A7" s="57" t="s">
        <v>97</v>
      </c>
      <c r="B7" s="57">
        <f>+Datos!C7</f>
        <v>-2400</v>
      </c>
      <c r="D7" s="57" t="s">
        <v>79</v>
      </c>
      <c r="E7" s="57">
        <f>+FINANCIERO!I21</f>
        <v>625</v>
      </c>
      <c r="J7" s="59"/>
      <c r="K7" s="57">
        <f>+K6+K5</f>
        <v>0</v>
      </c>
    </row>
    <row r="8" spans="1:12" ht="15" thickBot="1" x14ac:dyDescent="0.45">
      <c r="A8" s="57" t="s">
        <v>180</v>
      </c>
      <c r="B8" s="57">
        <f>+ECONÓMICO!H14</f>
        <v>-600</v>
      </c>
      <c r="D8" s="57" t="s">
        <v>13</v>
      </c>
      <c r="E8" s="57">
        <f>+FINANCIERO!I30+FINANCIERO!I31</f>
        <v>6240</v>
      </c>
      <c r="I8" s="59" t="s">
        <v>176</v>
      </c>
      <c r="K8" s="58">
        <f>+FINANCIERO!N34</f>
        <v>8000</v>
      </c>
    </row>
    <row r="9" spans="1:12" ht="15" thickBot="1" x14ac:dyDescent="0.45">
      <c r="A9" s="57" t="s">
        <v>177</v>
      </c>
      <c r="B9" s="57">
        <f>+ECONÓMICO!E24</f>
        <v>75000</v>
      </c>
      <c r="D9" s="57" t="s">
        <v>179</v>
      </c>
      <c r="E9" s="58">
        <v>570</v>
      </c>
      <c r="K9" s="60">
        <f>+K8+K7</f>
        <v>8000</v>
      </c>
    </row>
    <row r="10" spans="1:12" x14ac:dyDescent="0.4">
      <c r="A10" s="57" t="s">
        <v>175</v>
      </c>
      <c r="B10" s="57">
        <f>+ECONÓMICO!H16</f>
        <v>-1875</v>
      </c>
      <c r="D10" s="61" t="s">
        <v>58</v>
      </c>
      <c r="E10" s="61">
        <f>SUM(E4:E9)</f>
        <v>14735</v>
      </c>
      <c r="J10" s="59"/>
    </row>
    <row r="11" spans="1:12" x14ac:dyDescent="0.4">
      <c r="A11" s="57" t="s">
        <v>98</v>
      </c>
      <c r="B11" s="57">
        <f>+Datos!B8</f>
        <v>120000</v>
      </c>
    </row>
    <row r="12" spans="1:12" x14ac:dyDescent="0.4">
      <c r="A12" s="57" t="s">
        <v>99</v>
      </c>
      <c r="B12" s="57">
        <f>-B11/(50*12)*6+Datos!B9</f>
        <v>-11200</v>
      </c>
      <c r="D12" s="56" t="s">
        <v>54</v>
      </c>
    </row>
    <row r="13" spans="1:12" x14ac:dyDescent="0.4">
      <c r="A13" s="57" t="s">
        <v>100</v>
      </c>
      <c r="B13" s="57">
        <f>+Datos!D10</f>
        <v>-7000</v>
      </c>
      <c r="D13" s="57" t="s">
        <v>55</v>
      </c>
      <c r="E13" s="57">
        <f>+Datos!H8</f>
        <v>171520</v>
      </c>
    </row>
    <row r="14" spans="1:12" x14ac:dyDescent="0.4">
      <c r="A14" s="57" t="s">
        <v>178</v>
      </c>
      <c r="B14" s="58">
        <f>+FINANCIERO!I16</f>
        <v>1316</v>
      </c>
      <c r="D14" s="58" t="s">
        <v>56</v>
      </c>
      <c r="E14" s="58">
        <f>+ECONÓMICO!H23</f>
        <v>48186</v>
      </c>
    </row>
    <row r="15" spans="1:12" x14ac:dyDescent="0.4">
      <c r="A15" s="61" t="s">
        <v>59</v>
      </c>
      <c r="B15" s="61">
        <f>SUM(B3:B14)</f>
        <v>234441</v>
      </c>
      <c r="D15" s="61" t="s">
        <v>60</v>
      </c>
      <c r="E15" s="61">
        <f>SUM(E13:E14)</f>
        <v>219706</v>
      </c>
      <c r="I15" s="57">
        <f>2000+12000+500+6000</f>
        <v>20500</v>
      </c>
    </row>
    <row r="16" spans="1:12" ht="15" thickBot="1" x14ac:dyDescent="0.45">
      <c r="C16" s="62"/>
    </row>
    <row r="17" spans="1:6" x14ac:dyDescent="0.4">
      <c r="A17" s="138" t="str">
        <f>IF(B15=E17,"Activo = Pasivo+PN","hay errores")</f>
        <v>Activo = Pasivo+PN</v>
      </c>
      <c r="B17" s="139"/>
      <c r="D17" s="61" t="s">
        <v>61</v>
      </c>
      <c r="E17" s="61">
        <f>+E15+E10</f>
        <v>234441</v>
      </c>
    </row>
    <row r="18" spans="1:6" ht="15" thickBot="1" x14ac:dyDescent="0.45">
      <c r="A18" s="140"/>
      <c r="B18" s="141"/>
      <c r="C18" s="63"/>
    </row>
    <row r="19" spans="1:6" x14ac:dyDescent="0.4">
      <c r="C19" s="63"/>
    </row>
    <row r="20" spans="1:6" x14ac:dyDescent="0.4">
      <c r="B20" s="57">
        <f>+B15-E17</f>
        <v>0</v>
      </c>
      <c r="F20" s="13"/>
    </row>
    <row r="21" spans="1:6" x14ac:dyDescent="0.4">
      <c r="E21" s="63"/>
    </row>
    <row r="22" spans="1:6" x14ac:dyDescent="0.4">
      <c r="E22" s="63"/>
    </row>
    <row r="24" spans="1:6" x14ac:dyDescent="0.4">
      <c r="C24" s="62"/>
    </row>
    <row r="25" spans="1:6" x14ac:dyDescent="0.4">
      <c r="A25" s="61"/>
    </row>
    <row r="26" spans="1:6" ht="18.45" x14ac:dyDescent="0.4">
      <c r="A26" s="104" t="s">
        <v>104</v>
      </c>
      <c r="B26" s="104" t="s">
        <v>105</v>
      </c>
    </row>
    <row r="27" spans="1:6" ht="18.45" x14ac:dyDescent="0.4">
      <c r="A27" s="104"/>
      <c r="B27" s="104" t="s">
        <v>106</v>
      </c>
    </row>
  </sheetData>
  <mergeCells count="2">
    <mergeCell ref="A17:B18"/>
    <mergeCell ref="A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Datos</vt:lpstr>
      <vt:lpstr>ECONÓMICO</vt:lpstr>
      <vt:lpstr>FINANCIERO</vt:lpstr>
      <vt:lpstr>Pasivo + PN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Sylvina Enriquez</dc:creator>
  <cp:lastModifiedBy>Sylvina Enriquez</cp:lastModifiedBy>
  <cp:lastPrinted>2025-07-02T23:15:01Z</cp:lastPrinted>
  <dcterms:created xsi:type="dcterms:W3CDTF">2025-06-28T17:14:30Z</dcterms:created>
  <dcterms:modified xsi:type="dcterms:W3CDTF">2025-07-29T01:43:40Z</dcterms:modified>
</cp:coreProperties>
</file>